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10414"/>
  <workbookPr codeName="ThisWorkbook" defaultThemeVersion="166925"/>
  <mc:AlternateContent xmlns:mc="http://schemas.openxmlformats.org/markup-compatibility/2006">
    <mc:Choice Requires="x15">
      <x15ac:absPath xmlns:x15ac="http://schemas.microsoft.com/office/spreadsheetml/2010/11/ac" url="/Users/S_BILGIN6/Downloads/antarctic_data/"/>
    </mc:Choice>
  </mc:AlternateContent>
  <xr:revisionPtr revIDLastSave="0" documentId="8_{6E9961E4-E186-B640-A2E1-24C2B3E1FB38}" xr6:coauthVersionLast="47" xr6:coauthVersionMax="47" xr10:uidLastSave="{00000000-0000-0000-0000-000000000000}"/>
  <bookViews>
    <workbookView xWindow="360" yWindow="880" windowWidth="14940" windowHeight="9160"/>
  </bookViews>
  <sheets>
    <sheet name="savedrecs"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BF2" i="1" l="1"/>
  <c r="BT2" i="1"/>
  <c r="BF3" i="1"/>
  <c r="BT3" i="1"/>
  <c r="BF4" i="1"/>
  <c r="BT4" i="1"/>
  <c r="BF5" i="1"/>
  <c r="BT5" i="1"/>
  <c r="BF6" i="1"/>
  <c r="BT6" i="1"/>
  <c r="BF7" i="1"/>
  <c r="BT7" i="1"/>
  <c r="BF8" i="1"/>
  <c r="BT8" i="1"/>
  <c r="BF9" i="1"/>
  <c r="BT9" i="1"/>
  <c r="BF10" i="1"/>
  <c r="BT10" i="1"/>
  <c r="BF11" i="1"/>
  <c r="BT11" i="1"/>
  <c r="BF12" i="1"/>
  <c r="BT12" i="1"/>
  <c r="BF13" i="1"/>
  <c r="BT13" i="1"/>
  <c r="BF14" i="1"/>
  <c r="BT14" i="1"/>
  <c r="BF15" i="1"/>
  <c r="BT15" i="1"/>
  <c r="BF16" i="1"/>
  <c r="BT16" i="1"/>
  <c r="BF17" i="1"/>
  <c r="BT17" i="1"/>
  <c r="BF18" i="1"/>
  <c r="BT18" i="1"/>
  <c r="BF19" i="1"/>
  <c r="BT19" i="1"/>
  <c r="BF20" i="1"/>
  <c r="BT20" i="1"/>
  <c r="BF21" i="1"/>
  <c r="BT21" i="1"/>
  <c r="BF22" i="1"/>
  <c r="BT22" i="1"/>
  <c r="BT23" i="1"/>
  <c r="BF24" i="1"/>
  <c r="BT24" i="1"/>
  <c r="BF25" i="1"/>
  <c r="BT25" i="1"/>
  <c r="BF26" i="1"/>
  <c r="BT26" i="1"/>
  <c r="BF27" i="1"/>
  <c r="BT27" i="1"/>
  <c r="BF28" i="1"/>
  <c r="BT28" i="1"/>
  <c r="BT29" i="1"/>
  <c r="BF30" i="1"/>
  <c r="BT30" i="1"/>
  <c r="BF31" i="1"/>
  <c r="BT31" i="1"/>
  <c r="BF32" i="1"/>
  <c r="BT32" i="1"/>
  <c r="BF33" i="1"/>
  <c r="BT33" i="1"/>
  <c r="BF34" i="1"/>
  <c r="BT34" i="1"/>
  <c r="BF35" i="1"/>
  <c r="BT35" i="1"/>
  <c r="BF36" i="1"/>
  <c r="BT36" i="1"/>
  <c r="BF37" i="1"/>
  <c r="BT37" i="1"/>
  <c r="BF38" i="1"/>
  <c r="BT38" i="1"/>
  <c r="BF39" i="1"/>
  <c r="BT39" i="1"/>
  <c r="BF40" i="1"/>
  <c r="BT40" i="1"/>
  <c r="BF41" i="1"/>
  <c r="BT41" i="1"/>
  <c r="BF42" i="1"/>
  <c r="BT42" i="1"/>
  <c r="BF43" i="1"/>
  <c r="BT43" i="1"/>
  <c r="BF44" i="1"/>
  <c r="BT44" i="1"/>
  <c r="BF45" i="1"/>
  <c r="BT45" i="1"/>
  <c r="BF46" i="1"/>
  <c r="BT46" i="1"/>
  <c r="BF47" i="1"/>
  <c r="BT47" i="1"/>
  <c r="BF48" i="1"/>
  <c r="BT48" i="1"/>
  <c r="BF49" i="1"/>
  <c r="BT49" i="1"/>
  <c r="BF50" i="1"/>
  <c r="BT50" i="1"/>
  <c r="BF51" i="1"/>
  <c r="BT51" i="1"/>
  <c r="BF52" i="1"/>
  <c r="BT52" i="1"/>
  <c r="BF53" i="1"/>
  <c r="BT53" i="1"/>
  <c r="BT54" i="1"/>
  <c r="BF55" i="1"/>
  <c r="BT55" i="1"/>
  <c r="BF56" i="1"/>
  <c r="BT56" i="1"/>
  <c r="BT57" i="1"/>
  <c r="BT58" i="1"/>
  <c r="BT59" i="1"/>
  <c r="BT60" i="1"/>
  <c r="BT61" i="1"/>
  <c r="BT62" i="1"/>
  <c r="BT63" i="1"/>
  <c r="BT64" i="1"/>
  <c r="BF65" i="1"/>
  <c r="BT65" i="1"/>
  <c r="BF66" i="1"/>
  <c r="BT66" i="1"/>
  <c r="BF67" i="1"/>
  <c r="BT67" i="1"/>
  <c r="BT68" i="1"/>
  <c r="BT69" i="1"/>
  <c r="BF70" i="1"/>
  <c r="BT70" i="1"/>
  <c r="BF71" i="1"/>
  <c r="BT71" i="1"/>
  <c r="BF72" i="1"/>
  <c r="BT72" i="1"/>
  <c r="BF73" i="1"/>
  <c r="BT73" i="1"/>
  <c r="BF74" i="1"/>
  <c r="BT74" i="1"/>
  <c r="BF75" i="1"/>
  <c r="BT75" i="1"/>
  <c r="BF76" i="1"/>
  <c r="BT76" i="1"/>
  <c r="BF77" i="1"/>
  <c r="BT77" i="1"/>
  <c r="BT78" i="1"/>
  <c r="BF79" i="1"/>
  <c r="BT79" i="1"/>
  <c r="BF80" i="1"/>
  <c r="BT80" i="1"/>
  <c r="BF81" i="1"/>
  <c r="BT81" i="1"/>
  <c r="BF82" i="1"/>
  <c r="BT82" i="1"/>
  <c r="BT83" i="1"/>
  <c r="BT84" i="1"/>
  <c r="BT85" i="1"/>
  <c r="BT86" i="1"/>
  <c r="BT87" i="1"/>
  <c r="BT88" i="1"/>
  <c r="BT89" i="1"/>
  <c r="BT90" i="1"/>
  <c r="BT91" i="1"/>
  <c r="BT92" i="1"/>
  <c r="BT93" i="1"/>
  <c r="BT94" i="1"/>
  <c r="BT95" i="1"/>
  <c r="BT96" i="1"/>
  <c r="BF97" i="1"/>
  <c r="BT97" i="1"/>
  <c r="BF98" i="1"/>
  <c r="BT98" i="1"/>
  <c r="BF99" i="1"/>
  <c r="BT99" i="1"/>
  <c r="BF100" i="1"/>
  <c r="BT100" i="1"/>
  <c r="BF101" i="1"/>
  <c r="BT101" i="1"/>
  <c r="BF102" i="1"/>
  <c r="BT102" i="1"/>
  <c r="BF103" i="1"/>
  <c r="BT103" i="1"/>
  <c r="BF104" i="1"/>
  <c r="BT104" i="1"/>
  <c r="BF105" i="1"/>
  <c r="BT105" i="1"/>
  <c r="BF106" i="1"/>
  <c r="BT106" i="1"/>
  <c r="BF107" i="1"/>
  <c r="BT107" i="1"/>
  <c r="BF108" i="1"/>
  <c r="BT108" i="1"/>
  <c r="BF109" i="1"/>
  <c r="BT109" i="1"/>
  <c r="BF110" i="1"/>
  <c r="BT110" i="1"/>
  <c r="BF111" i="1"/>
  <c r="BT111" i="1"/>
  <c r="BF112" i="1"/>
  <c r="BT112" i="1"/>
  <c r="BF113" i="1"/>
  <c r="BT113" i="1"/>
  <c r="BF114" i="1"/>
  <c r="BT114" i="1"/>
  <c r="BF115" i="1"/>
  <c r="BT115" i="1"/>
  <c r="BF116" i="1"/>
  <c r="BT116" i="1"/>
  <c r="BF117" i="1"/>
  <c r="BT117" i="1"/>
  <c r="BF118" i="1"/>
  <c r="BT118" i="1"/>
  <c r="BF119" i="1"/>
  <c r="BT119" i="1"/>
  <c r="BF120" i="1"/>
  <c r="BT120" i="1"/>
  <c r="BF121" i="1"/>
  <c r="BT121" i="1"/>
  <c r="BF122" i="1"/>
  <c r="BT122" i="1"/>
  <c r="BF123" i="1"/>
  <c r="BT123" i="1"/>
  <c r="BT124" i="1"/>
  <c r="BF125" i="1"/>
  <c r="BT125" i="1"/>
  <c r="BF126" i="1"/>
  <c r="BT126" i="1"/>
  <c r="BF127" i="1"/>
  <c r="BT127" i="1"/>
  <c r="BF128" i="1"/>
  <c r="BT128" i="1"/>
  <c r="BF129" i="1"/>
  <c r="BT129" i="1"/>
  <c r="BF130" i="1"/>
  <c r="BT130" i="1"/>
  <c r="BF131" i="1"/>
  <c r="BT131" i="1"/>
  <c r="BF132" i="1"/>
  <c r="BT132" i="1"/>
  <c r="BF133" i="1"/>
  <c r="BT133" i="1"/>
  <c r="BF134" i="1"/>
  <c r="BT134" i="1"/>
  <c r="BF135" i="1"/>
  <c r="BT135" i="1"/>
  <c r="BF136" i="1"/>
  <c r="BT136" i="1"/>
  <c r="BF137" i="1"/>
  <c r="BT137" i="1"/>
  <c r="BF138" i="1"/>
  <c r="BT138" i="1"/>
  <c r="BF139" i="1"/>
  <c r="BT139" i="1"/>
  <c r="BF140" i="1"/>
  <c r="BT140" i="1"/>
  <c r="BF141" i="1"/>
  <c r="BT141" i="1"/>
  <c r="BF142" i="1"/>
  <c r="BT142" i="1"/>
  <c r="BF143" i="1"/>
  <c r="BT143" i="1"/>
  <c r="BF144" i="1"/>
  <c r="BT144" i="1"/>
  <c r="BF145" i="1"/>
  <c r="BT145" i="1"/>
  <c r="BF146" i="1"/>
  <c r="BT146" i="1"/>
  <c r="BF147" i="1"/>
  <c r="BT147" i="1"/>
  <c r="BF148" i="1"/>
  <c r="BT148" i="1"/>
  <c r="BF149" i="1"/>
  <c r="BT149" i="1"/>
  <c r="BF150" i="1"/>
  <c r="BT150" i="1"/>
  <c r="BF151" i="1"/>
  <c r="BT151" i="1"/>
  <c r="BF152" i="1"/>
  <c r="BT152" i="1"/>
  <c r="BF153" i="1"/>
  <c r="BT153" i="1"/>
  <c r="BF154" i="1"/>
  <c r="BT154" i="1"/>
  <c r="BF155" i="1"/>
  <c r="BT155" i="1"/>
  <c r="BF156" i="1"/>
  <c r="BT156" i="1"/>
  <c r="BF157" i="1"/>
  <c r="BT157" i="1"/>
  <c r="BF158" i="1"/>
  <c r="BT158" i="1"/>
  <c r="BF159" i="1"/>
  <c r="BT159" i="1"/>
  <c r="BF160" i="1"/>
  <c r="BT160" i="1"/>
  <c r="BF161" i="1"/>
  <c r="BT161" i="1"/>
  <c r="BF162" i="1"/>
  <c r="BT162" i="1"/>
  <c r="BF163" i="1"/>
  <c r="BT163" i="1"/>
  <c r="BF164" i="1"/>
  <c r="BT164" i="1"/>
  <c r="BF165" i="1"/>
  <c r="BT165" i="1"/>
  <c r="BF166" i="1"/>
  <c r="BT166" i="1"/>
  <c r="BF167" i="1"/>
  <c r="BT167" i="1"/>
  <c r="BF168" i="1"/>
  <c r="BT168" i="1"/>
  <c r="BF169" i="1"/>
  <c r="BT169" i="1"/>
  <c r="BF170" i="1"/>
  <c r="BT170" i="1"/>
  <c r="BF171" i="1"/>
  <c r="BT171" i="1"/>
  <c r="BT172" i="1"/>
  <c r="BF173" i="1"/>
  <c r="BT173" i="1"/>
  <c r="BF174" i="1"/>
  <c r="BT174" i="1"/>
  <c r="BF175" i="1"/>
  <c r="BT175" i="1"/>
  <c r="BF176" i="1"/>
  <c r="BT176" i="1"/>
  <c r="BF177" i="1"/>
  <c r="BT177" i="1"/>
  <c r="BF178" i="1"/>
  <c r="BT178" i="1"/>
  <c r="BF179" i="1"/>
  <c r="BT179" i="1"/>
  <c r="BF180" i="1"/>
  <c r="BT180" i="1"/>
  <c r="BF181" i="1"/>
  <c r="BT181" i="1"/>
  <c r="BT182" i="1"/>
  <c r="BF183" i="1"/>
  <c r="BT183" i="1"/>
  <c r="BF184" i="1"/>
  <c r="BT184" i="1"/>
  <c r="BF185" i="1"/>
  <c r="BT185" i="1"/>
  <c r="BF186" i="1"/>
  <c r="BT186" i="1"/>
  <c r="BF187" i="1"/>
  <c r="BT187" i="1"/>
  <c r="BF188" i="1"/>
  <c r="BT188" i="1"/>
  <c r="BF189" i="1"/>
  <c r="BT189" i="1"/>
  <c r="BF190" i="1"/>
  <c r="BT190" i="1"/>
  <c r="BF191" i="1"/>
  <c r="BT191" i="1"/>
  <c r="BT192" i="1"/>
  <c r="BF193" i="1"/>
  <c r="BT193" i="1"/>
  <c r="BF194" i="1"/>
  <c r="BT194" i="1"/>
  <c r="BF195" i="1"/>
  <c r="BT195" i="1"/>
  <c r="BF196" i="1"/>
  <c r="BT196" i="1"/>
  <c r="BF197" i="1"/>
  <c r="BT197" i="1"/>
  <c r="BF198" i="1"/>
  <c r="BT198" i="1"/>
  <c r="BF199" i="1"/>
  <c r="BT199" i="1"/>
  <c r="BF200" i="1"/>
  <c r="BT200" i="1"/>
  <c r="BF201" i="1"/>
  <c r="BT201" i="1"/>
  <c r="BF202" i="1"/>
  <c r="BT202" i="1"/>
  <c r="BF203" i="1"/>
  <c r="BT203" i="1"/>
  <c r="BF204" i="1"/>
  <c r="BT204" i="1"/>
  <c r="BF205" i="1"/>
  <c r="BT205" i="1"/>
  <c r="BF206" i="1"/>
  <c r="BT206" i="1"/>
  <c r="BF207" i="1"/>
  <c r="BT207" i="1"/>
  <c r="BF208" i="1"/>
  <c r="BT208" i="1"/>
  <c r="BF209" i="1"/>
  <c r="BT209" i="1"/>
  <c r="BF210" i="1"/>
  <c r="BT210" i="1"/>
  <c r="BF211" i="1"/>
  <c r="BT211" i="1"/>
  <c r="BF212" i="1"/>
  <c r="BT212" i="1"/>
  <c r="BF213" i="1"/>
  <c r="BT213" i="1"/>
  <c r="BF214" i="1"/>
  <c r="BT214" i="1"/>
  <c r="BF215" i="1"/>
  <c r="BT215" i="1"/>
  <c r="BF216" i="1"/>
  <c r="BT216" i="1"/>
  <c r="BF217" i="1"/>
  <c r="BT217" i="1"/>
  <c r="BF218" i="1"/>
  <c r="BT218" i="1"/>
  <c r="BF219" i="1"/>
  <c r="BT219" i="1"/>
  <c r="BF220" i="1"/>
  <c r="BT220" i="1"/>
  <c r="BF221" i="1"/>
  <c r="BT221" i="1"/>
  <c r="BF222" i="1"/>
  <c r="BT222" i="1"/>
  <c r="BF223" i="1"/>
  <c r="BT223" i="1"/>
  <c r="BF224" i="1"/>
  <c r="BT224" i="1"/>
  <c r="BF225" i="1"/>
  <c r="BT225" i="1"/>
  <c r="BF226" i="1"/>
  <c r="BT226" i="1"/>
  <c r="BF227" i="1"/>
  <c r="BT227" i="1"/>
  <c r="BT228" i="1"/>
  <c r="BT229" i="1"/>
  <c r="BF230" i="1"/>
  <c r="BT230" i="1"/>
  <c r="BF231" i="1"/>
  <c r="BT231" i="1"/>
  <c r="BF232" i="1"/>
  <c r="BT232" i="1"/>
  <c r="BF233" i="1"/>
  <c r="BT233" i="1"/>
  <c r="BF234" i="1"/>
  <c r="BT234" i="1"/>
  <c r="BF235" i="1"/>
  <c r="BT235" i="1"/>
  <c r="BT236" i="1"/>
  <c r="BF237" i="1"/>
  <c r="BT237" i="1"/>
  <c r="BF238" i="1"/>
  <c r="BT238" i="1"/>
  <c r="BF239" i="1"/>
  <c r="BT239" i="1"/>
  <c r="BF240" i="1"/>
  <c r="BT240" i="1"/>
  <c r="BT241" i="1"/>
  <c r="BT242" i="1"/>
  <c r="BF243" i="1"/>
  <c r="BT243" i="1"/>
  <c r="BF244" i="1"/>
  <c r="BT244" i="1"/>
  <c r="BF245" i="1"/>
  <c r="BT245" i="1"/>
  <c r="BF246" i="1"/>
  <c r="BT246" i="1"/>
  <c r="BF247" i="1"/>
  <c r="BT247" i="1"/>
  <c r="BF248" i="1"/>
  <c r="BT248" i="1"/>
  <c r="BF249" i="1"/>
  <c r="BT249" i="1"/>
  <c r="BF250" i="1"/>
  <c r="BT250" i="1"/>
  <c r="BF251" i="1"/>
  <c r="BT251" i="1"/>
  <c r="BF252" i="1"/>
  <c r="BT252" i="1"/>
  <c r="BF253" i="1"/>
  <c r="BT253" i="1"/>
  <c r="BF254" i="1"/>
  <c r="BT254" i="1"/>
  <c r="BF255" i="1"/>
  <c r="BT255" i="1"/>
  <c r="BF256" i="1"/>
  <c r="BT256" i="1"/>
  <c r="BF257" i="1"/>
  <c r="BT257" i="1"/>
  <c r="BF258" i="1"/>
  <c r="BT258" i="1"/>
  <c r="BF259" i="1"/>
  <c r="BT259" i="1"/>
  <c r="BF260" i="1"/>
  <c r="BT260" i="1"/>
  <c r="BF261" i="1"/>
  <c r="BT261" i="1"/>
  <c r="BF262" i="1"/>
  <c r="BT262" i="1"/>
  <c r="BF263" i="1"/>
  <c r="BT263" i="1"/>
  <c r="BF264" i="1"/>
  <c r="BT264" i="1"/>
  <c r="BF265" i="1"/>
  <c r="BT265" i="1"/>
  <c r="BF266" i="1"/>
  <c r="BT266" i="1"/>
  <c r="BF267" i="1"/>
  <c r="BT267" i="1"/>
  <c r="BF268" i="1"/>
  <c r="BT268" i="1"/>
  <c r="BF269" i="1"/>
  <c r="BT269" i="1"/>
  <c r="BF270" i="1"/>
  <c r="BT270" i="1"/>
  <c r="BF271" i="1"/>
  <c r="BT271" i="1"/>
  <c r="BF272" i="1"/>
  <c r="BT272" i="1"/>
  <c r="BF273" i="1"/>
  <c r="BT273" i="1"/>
  <c r="BF274" i="1"/>
  <c r="BT274" i="1"/>
  <c r="BT275" i="1"/>
  <c r="BF276" i="1"/>
  <c r="BT276" i="1"/>
  <c r="BF277" i="1"/>
  <c r="BT277" i="1"/>
  <c r="BF278" i="1"/>
  <c r="BT278" i="1"/>
  <c r="BF279" i="1"/>
  <c r="BT279" i="1"/>
  <c r="BF280" i="1"/>
  <c r="BT280" i="1"/>
  <c r="BF281" i="1"/>
  <c r="BT281" i="1"/>
  <c r="BF282" i="1"/>
  <c r="BT282" i="1"/>
  <c r="BF283" i="1"/>
  <c r="BT283" i="1"/>
  <c r="BF284" i="1"/>
  <c r="BT284" i="1"/>
  <c r="BF285" i="1"/>
  <c r="BT285" i="1"/>
  <c r="BF286" i="1"/>
  <c r="BT286" i="1"/>
  <c r="BF287" i="1"/>
  <c r="BT287" i="1"/>
  <c r="BF288" i="1"/>
  <c r="BT288" i="1"/>
  <c r="BF289" i="1"/>
  <c r="BT289" i="1"/>
  <c r="BF290" i="1"/>
  <c r="BT290" i="1"/>
  <c r="BF291" i="1"/>
  <c r="BT291" i="1"/>
  <c r="BF292" i="1"/>
  <c r="BT292" i="1"/>
  <c r="BF293" i="1"/>
  <c r="BT293" i="1"/>
  <c r="BT294" i="1"/>
  <c r="BT295" i="1"/>
  <c r="BF296" i="1"/>
  <c r="BT296" i="1"/>
  <c r="BF297" i="1"/>
  <c r="BT297" i="1"/>
  <c r="BF298" i="1"/>
  <c r="BT298" i="1"/>
  <c r="BF299" i="1"/>
  <c r="BT299" i="1"/>
  <c r="BF300" i="1"/>
  <c r="BT300" i="1"/>
  <c r="BF301" i="1"/>
  <c r="BT301" i="1"/>
  <c r="BF302" i="1"/>
  <c r="BT302" i="1"/>
  <c r="BF303" i="1"/>
  <c r="BT303" i="1"/>
  <c r="BF304" i="1"/>
  <c r="BT304" i="1"/>
  <c r="BF305" i="1"/>
  <c r="BT305" i="1"/>
  <c r="BF306" i="1"/>
  <c r="BT306" i="1"/>
  <c r="BF307" i="1"/>
  <c r="BT307" i="1"/>
  <c r="BF308" i="1"/>
  <c r="BT308" i="1"/>
  <c r="BT309" i="1"/>
  <c r="BF310" i="1"/>
  <c r="BT310" i="1"/>
  <c r="BF311" i="1"/>
  <c r="BT311" i="1"/>
  <c r="BF312" i="1"/>
  <c r="BT312" i="1"/>
  <c r="BF313" i="1"/>
  <c r="BT313" i="1"/>
  <c r="BT314" i="1"/>
  <c r="BT315" i="1"/>
  <c r="BF316" i="1"/>
  <c r="BT316" i="1"/>
  <c r="BF317" i="1"/>
  <c r="BT317" i="1"/>
  <c r="BF318" i="1"/>
  <c r="BT318" i="1"/>
  <c r="BT319" i="1"/>
  <c r="BF320" i="1"/>
  <c r="BT320" i="1"/>
  <c r="BF321" i="1"/>
  <c r="BT321" i="1"/>
  <c r="BF322" i="1"/>
  <c r="BT322" i="1"/>
  <c r="BF323" i="1"/>
  <c r="BT323" i="1"/>
  <c r="BF324" i="1"/>
  <c r="BT324" i="1"/>
  <c r="BF325" i="1"/>
  <c r="BT325" i="1"/>
  <c r="BF326" i="1"/>
  <c r="BT326" i="1"/>
  <c r="BF327" i="1"/>
  <c r="BT327" i="1"/>
  <c r="BF328" i="1"/>
  <c r="BT328" i="1"/>
  <c r="BF329" i="1"/>
  <c r="BT329" i="1"/>
  <c r="BF330" i="1"/>
  <c r="BT330" i="1"/>
  <c r="BF331" i="1"/>
  <c r="BT331" i="1"/>
  <c r="BF332" i="1"/>
  <c r="BT332" i="1"/>
  <c r="BF333" i="1"/>
  <c r="BT333" i="1"/>
  <c r="BF334" i="1"/>
  <c r="BT334" i="1"/>
  <c r="BF335" i="1"/>
  <c r="BT335" i="1"/>
  <c r="BF336" i="1"/>
  <c r="BT336" i="1"/>
  <c r="BF337" i="1"/>
  <c r="BT337" i="1"/>
  <c r="BF338" i="1"/>
  <c r="BT338" i="1"/>
  <c r="BF339" i="1"/>
  <c r="BT339" i="1"/>
  <c r="BF340" i="1"/>
  <c r="BT340" i="1"/>
  <c r="BF341" i="1"/>
  <c r="BT341" i="1"/>
  <c r="BF342" i="1"/>
  <c r="BT342" i="1"/>
  <c r="BF343" i="1"/>
  <c r="BT343" i="1"/>
  <c r="BF344" i="1"/>
  <c r="BT344" i="1"/>
  <c r="BF345" i="1"/>
  <c r="BT345" i="1"/>
  <c r="BF346" i="1"/>
  <c r="BT346" i="1"/>
  <c r="BF347" i="1"/>
  <c r="BT347" i="1"/>
  <c r="BF348" i="1"/>
  <c r="BT348" i="1"/>
  <c r="BF349" i="1"/>
  <c r="BT349" i="1"/>
  <c r="BF350" i="1"/>
  <c r="BT350" i="1"/>
  <c r="BF351" i="1"/>
  <c r="BT351" i="1"/>
  <c r="BF352" i="1"/>
  <c r="BT352" i="1"/>
  <c r="BF353" i="1"/>
  <c r="BT353" i="1"/>
  <c r="BF354" i="1"/>
  <c r="BT354" i="1"/>
  <c r="BF355" i="1"/>
  <c r="BT355" i="1"/>
  <c r="BF356" i="1"/>
  <c r="BT356" i="1"/>
  <c r="BF357" i="1"/>
  <c r="BT357" i="1"/>
  <c r="BT358" i="1"/>
  <c r="BF359" i="1"/>
  <c r="BT359" i="1"/>
  <c r="BF360" i="1"/>
  <c r="BT360" i="1"/>
  <c r="BF361" i="1"/>
  <c r="BT361" i="1"/>
  <c r="BF362" i="1"/>
  <c r="BT362" i="1"/>
  <c r="BF363" i="1"/>
  <c r="BT363" i="1"/>
  <c r="BF364" i="1"/>
  <c r="BT364" i="1"/>
  <c r="BF365" i="1"/>
  <c r="BT365" i="1"/>
  <c r="BF366" i="1"/>
  <c r="BT366" i="1"/>
  <c r="BF367" i="1"/>
  <c r="BT367" i="1"/>
  <c r="BF368" i="1"/>
  <c r="BT368" i="1"/>
  <c r="BT369" i="1"/>
  <c r="BF370" i="1"/>
  <c r="BT370" i="1"/>
  <c r="BF371" i="1"/>
  <c r="BT371" i="1"/>
  <c r="BF372" i="1"/>
  <c r="BT372" i="1"/>
  <c r="BF373" i="1"/>
  <c r="BT373" i="1"/>
  <c r="BF374" i="1"/>
  <c r="BT374" i="1"/>
  <c r="BF375" i="1"/>
  <c r="BT375" i="1"/>
  <c r="BF376" i="1"/>
  <c r="BT376" i="1"/>
  <c r="BF377" i="1"/>
  <c r="BT377" i="1"/>
  <c r="BF378" i="1"/>
  <c r="BT378" i="1"/>
  <c r="BF379" i="1"/>
  <c r="BT379" i="1"/>
  <c r="BF380" i="1"/>
  <c r="BT380" i="1"/>
  <c r="BF381" i="1"/>
  <c r="BT381" i="1"/>
  <c r="BF382" i="1"/>
  <c r="BT382" i="1"/>
  <c r="BF383" i="1"/>
  <c r="BT383" i="1"/>
  <c r="BF384" i="1"/>
  <c r="BT384" i="1"/>
  <c r="BF385" i="1"/>
  <c r="BT385" i="1"/>
  <c r="BF386" i="1"/>
  <c r="BT386" i="1"/>
  <c r="BF387" i="1"/>
  <c r="BT387" i="1"/>
  <c r="BF388" i="1"/>
  <c r="BT388" i="1"/>
  <c r="BF389" i="1"/>
  <c r="BT389" i="1"/>
  <c r="BF390" i="1"/>
  <c r="BT390" i="1"/>
  <c r="BF391" i="1"/>
  <c r="BT391" i="1"/>
  <c r="BF392" i="1"/>
  <c r="BT392" i="1"/>
  <c r="BF393" i="1"/>
  <c r="BT393" i="1"/>
  <c r="BF394" i="1"/>
  <c r="BT394" i="1"/>
  <c r="BF395" i="1"/>
  <c r="BT395" i="1"/>
  <c r="BF396" i="1"/>
  <c r="BT396" i="1"/>
  <c r="BF397" i="1"/>
  <c r="BT397" i="1"/>
  <c r="BT398" i="1"/>
  <c r="BF399" i="1"/>
  <c r="BT399" i="1"/>
  <c r="BF400" i="1"/>
  <c r="BT400" i="1"/>
  <c r="BF401" i="1"/>
  <c r="BT401" i="1"/>
  <c r="BF402" i="1"/>
  <c r="BT402" i="1"/>
  <c r="BF403" i="1"/>
  <c r="BT403" i="1"/>
  <c r="BF404" i="1"/>
  <c r="BT404" i="1"/>
  <c r="BF405" i="1"/>
  <c r="BT405" i="1"/>
  <c r="BF406" i="1"/>
  <c r="BT406" i="1"/>
  <c r="BF407" i="1"/>
  <c r="BT407" i="1"/>
  <c r="BF408" i="1"/>
  <c r="BT408" i="1"/>
  <c r="BF409" i="1"/>
  <c r="BT409" i="1"/>
  <c r="BF410" i="1"/>
  <c r="BT410" i="1"/>
  <c r="BF411" i="1"/>
  <c r="BT411" i="1"/>
  <c r="BF412" i="1"/>
  <c r="BT412" i="1"/>
  <c r="BF413" i="1"/>
  <c r="BT413" i="1"/>
  <c r="BF414" i="1"/>
  <c r="BT414" i="1"/>
  <c r="BF415" i="1"/>
  <c r="BT415" i="1"/>
  <c r="BF416" i="1"/>
  <c r="BT416" i="1"/>
  <c r="BF417" i="1"/>
  <c r="BT417" i="1"/>
  <c r="BF418" i="1"/>
  <c r="BT418" i="1"/>
  <c r="BF419" i="1"/>
  <c r="BT419" i="1"/>
  <c r="BF420" i="1"/>
  <c r="BT420" i="1"/>
  <c r="BT421" i="1"/>
  <c r="BF422" i="1"/>
  <c r="BT422" i="1"/>
  <c r="BT423" i="1"/>
  <c r="BF424" i="1"/>
  <c r="BT424" i="1"/>
  <c r="BT425" i="1"/>
  <c r="BF426" i="1"/>
  <c r="BT426" i="1"/>
  <c r="BF427" i="1"/>
  <c r="BT427" i="1"/>
  <c r="BF428" i="1"/>
  <c r="BT428" i="1"/>
  <c r="BF429" i="1"/>
  <c r="BT429" i="1"/>
  <c r="BF430" i="1"/>
  <c r="BT430" i="1"/>
  <c r="BF431" i="1"/>
  <c r="BT431" i="1"/>
  <c r="BF432" i="1"/>
  <c r="BT432" i="1"/>
  <c r="BF433" i="1"/>
  <c r="BT433" i="1"/>
  <c r="BF434" i="1"/>
  <c r="BT434" i="1"/>
  <c r="BF435" i="1"/>
  <c r="BT435" i="1"/>
  <c r="BF436" i="1"/>
  <c r="BT436" i="1"/>
  <c r="BF437" i="1"/>
  <c r="BT437" i="1"/>
  <c r="BF438" i="1"/>
  <c r="BT438" i="1"/>
  <c r="BF439" i="1"/>
  <c r="BT439" i="1"/>
  <c r="BF440" i="1"/>
  <c r="BT440" i="1"/>
  <c r="BF441" i="1"/>
  <c r="BT441" i="1"/>
  <c r="BF442" i="1"/>
  <c r="BT442" i="1"/>
  <c r="BF443" i="1"/>
  <c r="BT443" i="1"/>
  <c r="BF444" i="1"/>
  <c r="BT444" i="1"/>
  <c r="BF445" i="1"/>
  <c r="BT445" i="1"/>
  <c r="BF446" i="1"/>
  <c r="BT446" i="1"/>
  <c r="BF447" i="1"/>
  <c r="BT447" i="1"/>
  <c r="BF448" i="1"/>
  <c r="BT448" i="1"/>
  <c r="BF449" i="1"/>
  <c r="BT449" i="1"/>
  <c r="BF450" i="1"/>
  <c r="BT450" i="1"/>
  <c r="BF451" i="1"/>
  <c r="BT451" i="1"/>
  <c r="BF452" i="1"/>
  <c r="BT452" i="1"/>
  <c r="BF453" i="1"/>
  <c r="BT453" i="1"/>
  <c r="BF454" i="1"/>
  <c r="BT454" i="1"/>
  <c r="BF455" i="1"/>
  <c r="BT455" i="1"/>
  <c r="BF456" i="1"/>
  <c r="BT456" i="1"/>
  <c r="BF457" i="1"/>
  <c r="BT457" i="1"/>
  <c r="BF458" i="1"/>
  <c r="BT458" i="1"/>
  <c r="BF459" i="1"/>
  <c r="BT459" i="1"/>
  <c r="BF460" i="1"/>
  <c r="BT460" i="1"/>
  <c r="BF461" i="1"/>
  <c r="BT461" i="1"/>
  <c r="BF462" i="1"/>
  <c r="BT462" i="1"/>
  <c r="BF463" i="1"/>
  <c r="BT463" i="1"/>
  <c r="BF464" i="1"/>
  <c r="BT464" i="1"/>
  <c r="BF465" i="1"/>
  <c r="BT465" i="1"/>
  <c r="BF466" i="1"/>
  <c r="BT466" i="1"/>
  <c r="BF467" i="1"/>
  <c r="BT467" i="1"/>
  <c r="BF468" i="1"/>
  <c r="BT468" i="1"/>
  <c r="BF469" i="1"/>
  <c r="BT469" i="1"/>
  <c r="BF470" i="1"/>
  <c r="BT470" i="1"/>
  <c r="BF471" i="1"/>
  <c r="BT471" i="1"/>
  <c r="BF472" i="1"/>
  <c r="BT472" i="1"/>
  <c r="BF473" i="1"/>
  <c r="BT473" i="1"/>
  <c r="BF474" i="1"/>
  <c r="BT474" i="1"/>
  <c r="BF475" i="1"/>
  <c r="BT475" i="1"/>
  <c r="BF476" i="1"/>
  <c r="BT476" i="1"/>
  <c r="BF477" i="1"/>
  <c r="BT477" i="1"/>
  <c r="BF478" i="1"/>
  <c r="BT478" i="1"/>
  <c r="BF479" i="1"/>
  <c r="BT479" i="1"/>
  <c r="BF480" i="1"/>
  <c r="BT480" i="1"/>
  <c r="BF481" i="1"/>
  <c r="BT481" i="1"/>
  <c r="BF482" i="1"/>
  <c r="BT482" i="1"/>
  <c r="BT483" i="1"/>
  <c r="BT484" i="1"/>
  <c r="BF485" i="1"/>
  <c r="BT485" i="1"/>
  <c r="BF486" i="1"/>
  <c r="BT486" i="1"/>
  <c r="BF487" i="1"/>
  <c r="BT487" i="1"/>
  <c r="BF488" i="1"/>
  <c r="BT488" i="1"/>
  <c r="BF489" i="1"/>
  <c r="BT489" i="1"/>
  <c r="BF490" i="1"/>
  <c r="BT490" i="1"/>
  <c r="BF491" i="1"/>
  <c r="BT491" i="1"/>
  <c r="BF492" i="1"/>
  <c r="BT492" i="1"/>
  <c r="BF493" i="1"/>
  <c r="BT493" i="1"/>
  <c r="BF494" i="1"/>
  <c r="BT494" i="1"/>
  <c r="BF495" i="1"/>
  <c r="BT495" i="1"/>
  <c r="BF496" i="1"/>
  <c r="BT496" i="1"/>
  <c r="BF497" i="1"/>
  <c r="BT497" i="1"/>
  <c r="BF498" i="1"/>
  <c r="BT498" i="1"/>
  <c r="BF499" i="1"/>
  <c r="BT499" i="1"/>
  <c r="BT500" i="1"/>
  <c r="BF501" i="1"/>
  <c r="BT501" i="1"/>
  <c r="BT502" i="1"/>
  <c r="BF503" i="1"/>
  <c r="BT503" i="1"/>
  <c r="BF504" i="1"/>
  <c r="BT504" i="1"/>
  <c r="BF505" i="1"/>
  <c r="BT505" i="1"/>
  <c r="BF506" i="1"/>
  <c r="BT506" i="1"/>
  <c r="BF507" i="1"/>
  <c r="BT507" i="1"/>
  <c r="BF508" i="1"/>
  <c r="BT508" i="1"/>
  <c r="BF509" i="1"/>
  <c r="BT509" i="1"/>
  <c r="BF510" i="1"/>
  <c r="BT510" i="1"/>
  <c r="BF511" i="1"/>
  <c r="BT511" i="1"/>
  <c r="BF512" i="1"/>
  <c r="BT512" i="1"/>
  <c r="BF513" i="1"/>
  <c r="BT513" i="1"/>
  <c r="BF514" i="1"/>
  <c r="BT514" i="1"/>
  <c r="BF515" i="1"/>
  <c r="BT515" i="1"/>
  <c r="BF516" i="1"/>
  <c r="BT516" i="1"/>
  <c r="BF517" i="1"/>
  <c r="BT517" i="1"/>
  <c r="BF518" i="1"/>
  <c r="BT518" i="1"/>
  <c r="BF519" i="1"/>
  <c r="BT519" i="1"/>
  <c r="BT520" i="1"/>
  <c r="BT521" i="1"/>
  <c r="BT522" i="1"/>
  <c r="BF523" i="1"/>
  <c r="BT523" i="1"/>
  <c r="BF524" i="1"/>
  <c r="BT524" i="1"/>
  <c r="BF525" i="1"/>
  <c r="BT525" i="1"/>
  <c r="BF526" i="1"/>
  <c r="BT526" i="1"/>
  <c r="BF527" i="1"/>
  <c r="BT527" i="1"/>
  <c r="BT528" i="1"/>
  <c r="BF529" i="1"/>
  <c r="BT529" i="1"/>
  <c r="BF530" i="1"/>
  <c r="BT530" i="1"/>
  <c r="BF531" i="1"/>
  <c r="BT531" i="1"/>
  <c r="BF532" i="1"/>
  <c r="BT532" i="1"/>
  <c r="BF533" i="1"/>
  <c r="BT533" i="1"/>
  <c r="BF534" i="1"/>
  <c r="BT534" i="1"/>
  <c r="BF535" i="1"/>
  <c r="BT535" i="1"/>
  <c r="BF536" i="1"/>
  <c r="BT536" i="1"/>
  <c r="BF537" i="1"/>
  <c r="BT537" i="1"/>
  <c r="BF538" i="1"/>
  <c r="BT538" i="1"/>
  <c r="BF539" i="1"/>
  <c r="BT539" i="1"/>
  <c r="BF540" i="1"/>
  <c r="BT540" i="1"/>
  <c r="BF541" i="1"/>
  <c r="BT541" i="1"/>
  <c r="BF542" i="1"/>
  <c r="BT542" i="1"/>
  <c r="BF543" i="1"/>
  <c r="BT543" i="1"/>
  <c r="BF544" i="1"/>
  <c r="BT544" i="1"/>
  <c r="BF545" i="1"/>
  <c r="BT545" i="1"/>
  <c r="BF546" i="1"/>
  <c r="BT546" i="1"/>
  <c r="BF547" i="1"/>
  <c r="BT547" i="1"/>
  <c r="BF548" i="1"/>
  <c r="BT548" i="1"/>
  <c r="BF549" i="1"/>
  <c r="BT549" i="1"/>
  <c r="BF550" i="1"/>
  <c r="BT550" i="1"/>
  <c r="BF551" i="1"/>
  <c r="BT551" i="1"/>
  <c r="BT552" i="1"/>
  <c r="BF553" i="1"/>
  <c r="BT553" i="1"/>
  <c r="BF554" i="1"/>
  <c r="BT554" i="1"/>
  <c r="BF555" i="1"/>
  <c r="BT555" i="1"/>
  <c r="BF556" i="1"/>
  <c r="BT556" i="1"/>
  <c r="BF557" i="1"/>
  <c r="BT557" i="1"/>
  <c r="BF558" i="1"/>
  <c r="BT558" i="1"/>
  <c r="BF559" i="1"/>
  <c r="BT559" i="1"/>
  <c r="BF560" i="1"/>
  <c r="BT560" i="1"/>
  <c r="BF561" i="1"/>
  <c r="BT561" i="1"/>
  <c r="BF562" i="1"/>
  <c r="BT562" i="1"/>
  <c r="BF563" i="1"/>
  <c r="BT563" i="1"/>
  <c r="BF564" i="1"/>
  <c r="BT564" i="1"/>
  <c r="BF565" i="1"/>
  <c r="BT565" i="1"/>
  <c r="BF566" i="1"/>
  <c r="BT566" i="1"/>
  <c r="BF567" i="1"/>
  <c r="BT567" i="1"/>
  <c r="BF568" i="1"/>
  <c r="BT568" i="1"/>
  <c r="BF569" i="1"/>
  <c r="BT569" i="1"/>
  <c r="BF570" i="1"/>
  <c r="BT570" i="1"/>
  <c r="BF571" i="1"/>
  <c r="BT571" i="1"/>
  <c r="BF572" i="1"/>
  <c r="BT572" i="1"/>
  <c r="BT573" i="1"/>
  <c r="BF574" i="1"/>
  <c r="BT574" i="1"/>
  <c r="BF575" i="1"/>
  <c r="BT575" i="1"/>
  <c r="BF576" i="1"/>
  <c r="BT576" i="1"/>
  <c r="BF577" i="1"/>
  <c r="BT577" i="1"/>
  <c r="BF578" i="1"/>
  <c r="BT578" i="1"/>
  <c r="BF579" i="1"/>
  <c r="BT579" i="1"/>
  <c r="BF580" i="1"/>
  <c r="BT580" i="1"/>
  <c r="BF581" i="1"/>
  <c r="BT581" i="1"/>
  <c r="BF582" i="1"/>
  <c r="BT582" i="1"/>
  <c r="BF583" i="1"/>
  <c r="BT583" i="1"/>
  <c r="BF584" i="1"/>
  <c r="BT584" i="1"/>
  <c r="BF585" i="1"/>
  <c r="BT585" i="1"/>
  <c r="BF586" i="1"/>
  <c r="BT586" i="1"/>
  <c r="BF587" i="1"/>
  <c r="BT587" i="1"/>
  <c r="BT588" i="1"/>
  <c r="BF589" i="1"/>
  <c r="BT589" i="1"/>
  <c r="BF590" i="1"/>
  <c r="BT590" i="1"/>
  <c r="BF591" i="1"/>
  <c r="BT591" i="1"/>
  <c r="BF592" i="1"/>
  <c r="BT592" i="1"/>
  <c r="BF593" i="1"/>
  <c r="BT593" i="1"/>
  <c r="BF594" i="1"/>
  <c r="BT594" i="1"/>
  <c r="BF595" i="1"/>
  <c r="BT595" i="1"/>
  <c r="BF596" i="1"/>
  <c r="BT596" i="1"/>
  <c r="BF597" i="1"/>
  <c r="BT597" i="1"/>
  <c r="BF598" i="1"/>
  <c r="BT598" i="1"/>
  <c r="BF599" i="1"/>
  <c r="BT599" i="1"/>
  <c r="BF600" i="1"/>
  <c r="BT600" i="1"/>
  <c r="BF601" i="1"/>
  <c r="BT601" i="1"/>
  <c r="BF602" i="1"/>
  <c r="BT602" i="1"/>
  <c r="BF603" i="1"/>
  <c r="BT603" i="1"/>
  <c r="BF604" i="1"/>
  <c r="BT604" i="1"/>
  <c r="BF605" i="1"/>
  <c r="BT605" i="1"/>
  <c r="BF606" i="1"/>
  <c r="BT606" i="1"/>
  <c r="BF607" i="1"/>
  <c r="BT607" i="1"/>
  <c r="BF608" i="1"/>
  <c r="BT608" i="1"/>
  <c r="BF609" i="1"/>
  <c r="BT609" i="1"/>
  <c r="BF610" i="1"/>
  <c r="BT610" i="1"/>
  <c r="BF611" i="1"/>
  <c r="BT611" i="1"/>
  <c r="BF612" i="1"/>
  <c r="BT612" i="1"/>
  <c r="BF613" i="1"/>
  <c r="BT613" i="1"/>
  <c r="BF614" i="1"/>
  <c r="BT614" i="1"/>
  <c r="BF615" i="1"/>
  <c r="BT615" i="1"/>
  <c r="BF616" i="1"/>
  <c r="BT616" i="1"/>
  <c r="BF617" i="1"/>
  <c r="BT617" i="1"/>
  <c r="BF618" i="1"/>
  <c r="BT618" i="1"/>
  <c r="BF619" i="1"/>
  <c r="BT619" i="1"/>
  <c r="BF620" i="1"/>
  <c r="BT620" i="1"/>
  <c r="BF621" i="1"/>
  <c r="BT621" i="1"/>
  <c r="BF622" i="1"/>
  <c r="BT622" i="1"/>
  <c r="BF623" i="1"/>
  <c r="BT623" i="1"/>
  <c r="BF624" i="1"/>
  <c r="BT624" i="1"/>
  <c r="BF625" i="1"/>
  <c r="BT625" i="1"/>
  <c r="BF626" i="1"/>
  <c r="BT626" i="1"/>
  <c r="BF627" i="1"/>
  <c r="BT627" i="1"/>
  <c r="BF628" i="1"/>
  <c r="BT628" i="1"/>
  <c r="BF629" i="1"/>
  <c r="BT629" i="1"/>
  <c r="BF630" i="1"/>
  <c r="BT630" i="1"/>
  <c r="BF631" i="1"/>
  <c r="BT631" i="1"/>
  <c r="BF632" i="1"/>
  <c r="BT632" i="1"/>
  <c r="BT633" i="1"/>
  <c r="BF634" i="1"/>
  <c r="BT634" i="1"/>
  <c r="BF635" i="1"/>
  <c r="BT635" i="1"/>
  <c r="BF636" i="1"/>
  <c r="BT636" i="1"/>
  <c r="BF637" i="1"/>
  <c r="BT637" i="1"/>
  <c r="BF638" i="1"/>
  <c r="BT638" i="1"/>
  <c r="BF639" i="1"/>
  <c r="BT639" i="1"/>
  <c r="BF640" i="1"/>
  <c r="BT640" i="1"/>
  <c r="BF641" i="1"/>
  <c r="BT641" i="1"/>
  <c r="BF642" i="1"/>
  <c r="BT642" i="1"/>
  <c r="BF643" i="1"/>
  <c r="BT643" i="1"/>
  <c r="BF644" i="1"/>
  <c r="BT644" i="1"/>
  <c r="BF645" i="1"/>
  <c r="BT645" i="1"/>
  <c r="BF646" i="1"/>
  <c r="BT646" i="1"/>
  <c r="BF647" i="1"/>
  <c r="BT647" i="1"/>
  <c r="BF648" i="1"/>
  <c r="BT648" i="1"/>
  <c r="BF649" i="1"/>
  <c r="BT649" i="1"/>
  <c r="BF650" i="1"/>
  <c r="BT650" i="1"/>
  <c r="BF651" i="1"/>
  <c r="BT651" i="1"/>
  <c r="BF652" i="1"/>
  <c r="BT652" i="1"/>
  <c r="BF653" i="1"/>
  <c r="BT653" i="1"/>
  <c r="BF654" i="1"/>
  <c r="BT654" i="1"/>
  <c r="BF655" i="1"/>
  <c r="BT655" i="1"/>
  <c r="BF656" i="1"/>
  <c r="BT656" i="1"/>
  <c r="BF657" i="1"/>
  <c r="BT657" i="1"/>
  <c r="BF658" i="1"/>
  <c r="BT658" i="1"/>
  <c r="BF659" i="1"/>
  <c r="BT659" i="1"/>
  <c r="BF660" i="1"/>
  <c r="BT660" i="1"/>
  <c r="BT661" i="1"/>
  <c r="BF662" i="1"/>
  <c r="BT662" i="1"/>
  <c r="BF663" i="1"/>
  <c r="BT663" i="1"/>
  <c r="BF664" i="1"/>
  <c r="BT664" i="1"/>
  <c r="BF665" i="1"/>
  <c r="BT665" i="1"/>
  <c r="BF666" i="1"/>
  <c r="BT666" i="1"/>
  <c r="BF667" i="1"/>
  <c r="BT667" i="1"/>
  <c r="BF668" i="1"/>
  <c r="BT668" i="1"/>
  <c r="BF669" i="1"/>
  <c r="BT669" i="1"/>
  <c r="BF670" i="1"/>
  <c r="BT670" i="1"/>
  <c r="BF671" i="1"/>
  <c r="BT671" i="1"/>
  <c r="BF672" i="1"/>
  <c r="BT672" i="1"/>
  <c r="BF673" i="1"/>
  <c r="BT673" i="1"/>
  <c r="BF674" i="1"/>
  <c r="BT674" i="1"/>
  <c r="BF675" i="1"/>
  <c r="BT675" i="1"/>
  <c r="BF676" i="1"/>
  <c r="BT676" i="1"/>
  <c r="BF677" i="1"/>
  <c r="BT677" i="1"/>
  <c r="BF678" i="1"/>
  <c r="BT678" i="1"/>
  <c r="BF679" i="1"/>
  <c r="BT679" i="1"/>
  <c r="BF680" i="1"/>
  <c r="BT680" i="1"/>
  <c r="BF681" i="1"/>
  <c r="BT681" i="1"/>
  <c r="BF682" i="1"/>
  <c r="BT682" i="1"/>
  <c r="BF683" i="1"/>
  <c r="BT683" i="1"/>
  <c r="BF684" i="1"/>
  <c r="BT684" i="1"/>
  <c r="BF685" i="1"/>
  <c r="BT685" i="1"/>
  <c r="BF686" i="1"/>
  <c r="BT686" i="1"/>
  <c r="BT687" i="1"/>
  <c r="BF688" i="1"/>
  <c r="BT688" i="1"/>
  <c r="BF689" i="1"/>
  <c r="BT689" i="1"/>
  <c r="BF690" i="1"/>
  <c r="BT690" i="1"/>
  <c r="BF691" i="1"/>
  <c r="BT691" i="1"/>
  <c r="BF692" i="1"/>
  <c r="BT692" i="1"/>
  <c r="BF693" i="1"/>
  <c r="BT693" i="1"/>
  <c r="BF694" i="1"/>
  <c r="BT694" i="1"/>
  <c r="BF695" i="1"/>
  <c r="BT695" i="1"/>
  <c r="BF696" i="1"/>
  <c r="BT696" i="1"/>
  <c r="BF697" i="1"/>
  <c r="BT697" i="1"/>
  <c r="BF698" i="1"/>
  <c r="BT698" i="1"/>
  <c r="BF699" i="1"/>
  <c r="BT699" i="1"/>
  <c r="BF700" i="1"/>
  <c r="BT700" i="1"/>
  <c r="BF701" i="1"/>
  <c r="BT701" i="1"/>
  <c r="BF702" i="1"/>
  <c r="BT702" i="1"/>
  <c r="BF703" i="1"/>
  <c r="BT703" i="1"/>
  <c r="BF704" i="1"/>
  <c r="BT704" i="1"/>
  <c r="BF705" i="1"/>
  <c r="BT705" i="1"/>
  <c r="BF706" i="1"/>
  <c r="BT706" i="1"/>
  <c r="BF707" i="1"/>
  <c r="BT707" i="1"/>
  <c r="BF708" i="1"/>
  <c r="BT708" i="1"/>
  <c r="BT709" i="1"/>
  <c r="BF710" i="1"/>
  <c r="BT710" i="1"/>
  <c r="BF711" i="1"/>
  <c r="BT711" i="1"/>
  <c r="BF712" i="1"/>
  <c r="BT712" i="1"/>
  <c r="BF713" i="1"/>
  <c r="BT713" i="1"/>
  <c r="BT714" i="1"/>
  <c r="BF715" i="1"/>
  <c r="BT715" i="1"/>
  <c r="BF716" i="1"/>
  <c r="BT716" i="1"/>
  <c r="BF717" i="1"/>
  <c r="BT717" i="1"/>
  <c r="BF718" i="1"/>
  <c r="BT718" i="1"/>
  <c r="BF719" i="1"/>
  <c r="BT719" i="1"/>
  <c r="BF720" i="1"/>
  <c r="BT720" i="1"/>
  <c r="BF721" i="1"/>
  <c r="BT721" i="1"/>
  <c r="BF722" i="1"/>
  <c r="BT722" i="1"/>
  <c r="BF723" i="1"/>
  <c r="BT723" i="1"/>
  <c r="BF724" i="1"/>
  <c r="BT724" i="1"/>
  <c r="BF725" i="1"/>
  <c r="BT725" i="1"/>
  <c r="BF726" i="1"/>
  <c r="BT726" i="1"/>
  <c r="BF727" i="1"/>
  <c r="BT727" i="1"/>
  <c r="BF728" i="1"/>
  <c r="BT728" i="1"/>
  <c r="BF729" i="1"/>
  <c r="BT729" i="1"/>
  <c r="BF730" i="1"/>
  <c r="BT730" i="1"/>
  <c r="BF731" i="1"/>
  <c r="BT731" i="1"/>
  <c r="BT732" i="1"/>
  <c r="BF733" i="1"/>
  <c r="BT733" i="1"/>
  <c r="BF734" i="1"/>
  <c r="BT734" i="1"/>
  <c r="BF735" i="1"/>
  <c r="BT735" i="1"/>
  <c r="BF736" i="1"/>
  <c r="BT736" i="1"/>
  <c r="BF737" i="1"/>
  <c r="BT737" i="1"/>
  <c r="BF738" i="1"/>
  <c r="BT738" i="1"/>
  <c r="BF739" i="1"/>
  <c r="BT739" i="1"/>
  <c r="BF740" i="1"/>
  <c r="BT740" i="1"/>
  <c r="BF741" i="1"/>
  <c r="BT741" i="1"/>
  <c r="BF742" i="1"/>
  <c r="BT742" i="1"/>
  <c r="BF743" i="1"/>
  <c r="BT743" i="1"/>
  <c r="BF744" i="1"/>
  <c r="BT744" i="1"/>
  <c r="BF745" i="1"/>
  <c r="BT745" i="1"/>
  <c r="BF746" i="1"/>
  <c r="BT746" i="1"/>
  <c r="BF747" i="1"/>
  <c r="BT747" i="1"/>
  <c r="BF748" i="1"/>
  <c r="BT748" i="1"/>
  <c r="BF749" i="1"/>
  <c r="BT749" i="1"/>
  <c r="BF750" i="1"/>
  <c r="BT750" i="1"/>
  <c r="BF751" i="1"/>
  <c r="BT751" i="1"/>
  <c r="BF752" i="1"/>
  <c r="BT752" i="1"/>
  <c r="BF753" i="1"/>
  <c r="BT753" i="1"/>
  <c r="BF754" i="1"/>
  <c r="BT754" i="1"/>
  <c r="BF755" i="1"/>
  <c r="BT755" i="1"/>
  <c r="BT756" i="1"/>
  <c r="BF757" i="1"/>
  <c r="BT757" i="1"/>
  <c r="BF758" i="1"/>
  <c r="BT758" i="1"/>
  <c r="BF759" i="1"/>
  <c r="BT759" i="1"/>
  <c r="BF760" i="1"/>
  <c r="BT760" i="1"/>
  <c r="BF761" i="1"/>
  <c r="BT761" i="1"/>
  <c r="BF762" i="1"/>
  <c r="BT762" i="1"/>
  <c r="BF763" i="1"/>
  <c r="BT763" i="1"/>
  <c r="BF764" i="1"/>
  <c r="BT764" i="1"/>
  <c r="BF765" i="1"/>
  <c r="BT765" i="1"/>
  <c r="BF766" i="1"/>
  <c r="BT766" i="1"/>
  <c r="BF767" i="1"/>
  <c r="BT767" i="1"/>
  <c r="BF768" i="1"/>
  <c r="BT768" i="1"/>
  <c r="BF769" i="1"/>
  <c r="BT769" i="1"/>
  <c r="BF770" i="1"/>
  <c r="BT770" i="1"/>
  <c r="BF771" i="1"/>
  <c r="BT771" i="1"/>
  <c r="BF772" i="1"/>
  <c r="BT772" i="1"/>
  <c r="BF773" i="1"/>
  <c r="BT773" i="1"/>
  <c r="BF774" i="1"/>
  <c r="BT774" i="1"/>
  <c r="BF775" i="1"/>
  <c r="BT775" i="1"/>
  <c r="BT776" i="1"/>
  <c r="BT777" i="1"/>
  <c r="BT778" i="1"/>
  <c r="BT779" i="1"/>
  <c r="BF780" i="1"/>
  <c r="BT780" i="1"/>
  <c r="BF781" i="1"/>
  <c r="BT781" i="1"/>
  <c r="BF782" i="1"/>
  <c r="BT782" i="1"/>
  <c r="BF783" i="1"/>
  <c r="BT783" i="1"/>
  <c r="BF784" i="1"/>
  <c r="BT784" i="1"/>
  <c r="BF785" i="1"/>
  <c r="BT785" i="1"/>
  <c r="BF786" i="1"/>
  <c r="BT786" i="1"/>
  <c r="BF787" i="1"/>
  <c r="BT787" i="1"/>
  <c r="BF788" i="1"/>
  <c r="BT788" i="1"/>
  <c r="BF789" i="1"/>
  <c r="BT789" i="1"/>
  <c r="BF790" i="1"/>
  <c r="BT790" i="1"/>
  <c r="BF791" i="1"/>
  <c r="BT791" i="1"/>
  <c r="BF792" i="1"/>
  <c r="BT792" i="1"/>
  <c r="BF793" i="1"/>
  <c r="BT793" i="1"/>
  <c r="BF794" i="1"/>
  <c r="BT794" i="1"/>
  <c r="BF795" i="1"/>
  <c r="BT795" i="1"/>
  <c r="BF796" i="1"/>
  <c r="BT796" i="1"/>
  <c r="BF797" i="1"/>
  <c r="BT797" i="1"/>
  <c r="BF798" i="1"/>
  <c r="BT798" i="1"/>
  <c r="BF799" i="1"/>
  <c r="BT799" i="1"/>
  <c r="BF800" i="1"/>
  <c r="BT800" i="1"/>
  <c r="BF801" i="1"/>
  <c r="BT801" i="1"/>
  <c r="BF802" i="1"/>
  <c r="BT802" i="1"/>
  <c r="BF803" i="1"/>
  <c r="BT803" i="1"/>
  <c r="BT804" i="1"/>
  <c r="BF805" i="1"/>
  <c r="BT805" i="1"/>
  <c r="BF806" i="1"/>
  <c r="BT806" i="1"/>
  <c r="BF807" i="1"/>
  <c r="BT807" i="1"/>
  <c r="BF808" i="1"/>
  <c r="BT808" i="1"/>
  <c r="BF809" i="1"/>
  <c r="BT809" i="1"/>
  <c r="BF810" i="1"/>
  <c r="BT810" i="1"/>
  <c r="BF811" i="1"/>
  <c r="BT811" i="1"/>
  <c r="BT812" i="1"/>
  <c r="BT813" i="1"/>
  <c r="BF814" i="1"/>
  <c r="BT814" i="1"/>
  <c r="BF815" i="1"/>
  <c r="BT815" i="1"/>
  <c r="BF816" i="1"/>
  <c r="BT816" i="1"/>
  <c r="BF817" i="1"/>
  <c r="BT817" i="1"/>
  <c r="BF818" i="1"/>
  <c r="BT818" i="1"/>
  <c r="BF819" i="1"/>
  <c r="BT819" i="1"/>
  <c r="BF820" i="1"/>
  <c r="BT820" i="1"/>
  <c r="BF821" i="1"/>
  <c r="BT821" i="1"/>
  <c r="BF822" i="1"/>
  <c r="BT822" i="1"/>
  <c r="BF823" i="1"/>
  <c r="BT823" i="1"/>
  <c r="BF824" i="1"/>
  <c r="BT824" i="1"/>
  <c r="BF825" i="1"/>
  <c r="BT825" i="1"/>
  <c r="BF826" i="1"/>
  <c r="BT826" i="1"/>
  <c r="BF827" i="1"/>
  <c r="BT827" i="1"/>
  <c r="BF828" i="1"/>
  <c r="BT828" i="1"/>
  <c r="BF829" i="1"/>
  <c r="BT829" i="1"/>
  <c r="BF830" i="1"/>
  <c r="BT830" i="1"/>
  <c r="BF831" i="1"/>
  <c r="BT831" i="1"/>
  <c r="BF832" i="1"/>
  <c r="BT832" i="1"/>
  <c r="BF833" i="1"/>
  <c r="BT833" i="1"/>
  <c r="BF834" i="1"/>
  <c r="BT834" i="1"/>
  <c r="BF835" i="1"/>
  <c r="BT835" i="1"/>
  <c r="BF836" i="1"/>
  <c r="BT836" i="1"/>
  <c r="BF837" i="1"/>
  <c r="BT837" i="1"/>
  <c r="BF838" i="1"/>
  <c r="BT838" i="1"/>
  <c r="BF839" i="1"/>
  <c r="BT839" i="1"/>
  <c r="BF840" i="1"/>
  <c r="BT840" i="1"/>
  <c r="BF841" i="1"/>
  <c r="BT841" i="1"/>
  <c r="BF842" i="1"/>
  <c r="BT842" i="1"/>
  <c r="BF843" i="1"/>
  <c r="BT843" i="1"/>
  <c r="BF844" i="1"/>
  <c r="BT844" i="1"/>
  <c r="BF845" i="1"/>
  <c r="BT845" i="1"/>
  <c r="BF846" i="1"/>
  <c r="BT846" i="1"/>
  <c r="BT847" i="1"/>
  <c r="BF848" i="1"/>
  <c r="BT848" i="1"/>
  <c r="BF849" i="1"/>
  <c r="BT849" i="1"/>
  <c r="BF850" i="1"/>
  <c r="BT850" i="1"/>
  <c r="BT851" i="1"/>
  <c r="BF852" i="1"/>
  <c r="BT852" i="1"/>
  <c r="BF853" i="1"/>
  <c r="BT853" i="1"/>
  <c r="BF854" i="1"/>
  <c r="BT854" i="1"/>
  <c r="BF855" i="1"/>
  <c r="BT855" i="1"/>
  <c r="BF856" i="1"/>
  <c r="BT856" i="1"/>
  <c r="BF857" i="1"/>
  <c r="BT857" i="1"/>
  <c r="BF858" i="1"/>
  <c r="BT858" i="1"/>
  <c r="BT859" i="1"/>
  <c r="BT860" i="1"/>
  <c r="BT861" i="1"/>
  <c r="BF862" i="1"/>
  <c r="BT862" i="1"/>
  <c r="BT863" i="1"/>
  <c r="BF864" i="1"/>
  <c r="BT864" i="1"/>
  <c r="BF865" i="1"/>
  <c r="BT865" i="1"/>
  <c r="BF866" i="1"/>
  <c r="BT866" i="1"/>
  <c r="BF867" i="1"/>
  <c r="BT867" i="1"/>
  <c r="BF868" i="1"/>
  <c r="BT868" i="1"/>
  <c r="BF869" i="1"/>
  <c r="BT869" i="1"/>
  <c r="BF870" i="1"/>
  <c r="BT870" i="1"/>
  <c r="BF871" i="1"/>
  <c r="BT871" i="1"/>
  <c r="BF872" i="1"/>
  <c r="BT872" i="1"/>
  <c r="BF873" i="1"/>
  <c r="BT873" i="1"/>
  <c r="BF874" i="1"/>
  <c r="BT874" i="1"/>
  <c r="BT875" i="1"/>
  <c r="BT876" i="1"/>
  <c r="BT877" i="1"/>
  <c r="BT878" i="1"/>
  <c r="BF879" i="1"/>
  <c r="BT879" i="1"/>
  <c r="BF880" i="1"/>
  <c r="BT880" i="1"/>
  <c r="BF881" i="1"/>
  <c r="BT881" i="1"/>
  <c r="BF882" i="1"/>
  <c r="BT882" i="1"/>
  <c r="BF883" i="1"/>
  <c r="BT883" i="1"/>
  <c r="BF884" i="1"/>
  <c r="BT884" i="1"/>
  <c r="BF885" i="1"/>
  <c r="BT885" i="1"/>
  <c r="BF886" i="1"/>
  <c r="BT886" i="1"/>
  <c r="BF887" i="1"/>
  <c r="BT887" i="1"/>
  <c r="BF888" i="1"/>
  <c r="BT888" i="1"/>
  <c r="BF889" i="1"/>
  <c r="BT889" i="1"/>
  <c r="BF890" i="1"/>
  <c r="BT890" i="1"/>
  <c r="BF891" i="1"/>
  <c r="BT891" i="1"/>
  <c r="BF892" i="1"/>
  <c r="BT892" i="1"/>
  <c r="BF893" i="1"/>
  <c r="BT893" i="1"/>
  <c r="BF894" i="1"/>
  <c r="BT894" i="1"/>
  <c r="BF895" i="1"/>
  <c r="BT895" i="1"/>
  <c r="BF896" i="1"/>
  <c r="BT896" i="1"/>
  <c r="BF897" i="1"/>
  <c r="BT897" i="1"/>
  <c r="BF898" i="1"/>
  <c r="BT898" i="1"/>
  <c r="BF899" i="1"/>
  <c r="BT899" i="1"/>
  <c r="BF900" i="1"/>
  <c r="BT900" i="1"/>
  <c r="BF901" i="1"/>
  <c r="BT901" i="1"/>
  <c r="BF902" i="1"/>
  <c r="BT902" i="1"/>
  <c r="BF903" i="1"/>
  <c r="BT903" i="1"/>
  <c r="BF904" i="1"/>
  <c r="BT904" i="1"/>
  <c r="BF905" i="1"/>
  <c r="BT905" i="1"/>
  <c r="BF906" i="1"/>
  <c r="BT906" i="1"/>
  <c r="BT907" i="1"/>
  <c r="BF908" i="1"/>
  <c r="BT908" i="1"/>
  <c r="BF909" i="1"/>
  <c r="BT909" i="1"/>
  <c r="BF910" i="1"/>
  <c r="BT910" i="1"/>
  <c r="BF911" i="1"/>
  <c r="BT911" i="1"/>
  <c r="BF912" i="1"/>
  <c r="BT912" i="1"/>
  <c r="BF913" i="1"/>
  <c r="BT913" i="1"/>
  <c r="BF914" i="1"/>
  <c r="BT914" i="1"/>
  <c r="BF915" i="1"/>
  <c r="BT915" i="1"/>
  <c r="BF916" i="1"/>
  <c r="BT916" i="1"/>
  <c r="BF917" i="1"/>
  <c r="BT917" i="1"/>
  <c r="BF918" i="1"/>
  <c r="BT918" i="1"/>
  <c r="BF919" i="1"/>
  <c r="BT919" i="1"/>
  <c r="BF920" i="1"/>
  <c r="BT920" i="1"/>
  <c r="BF921" i="1"/>
  <c r="BT921" i="1"/>
  <c r="BF922" i="1"/>
  <c r="BT922" i="1"/>
  <c r="BF923" i="1"/>
  <c r="BT923" i="1"/>
  <c r="BF924" i="1"/>
  <c r="BT924" i="1"/>
  <c r="BF925" i="1"/>
  <c r="BT925" i="1"/>
  <c r="BF926" i="1"/>
  <c r="BT926" i="1"/>
  <c r="BF927" i="1"/>
  <c r="BT927" i="1"/>
  <c r="BF928" i="1"/>
  <c r="BT928" i="1"/>
  <c r="BF929" i="1"/>
  <c r="BT929" i="1"/>
  <c r="BF930" i="1"/>
  <c r="BT930" i="1"/>
  <c r="BF931" i="1"/>
  <c r="BT931" i="1"/>
  <c r="BF932" i="1"/>
  <c r="BT932" i="1"/>
  <c r="BF933" i="1"/>
  <c r="BT933" i="1"/>
  <c r="BF934" i="1"/>
  <c r="BT934" i="1"/>
  <c r="BF935" i="1"/>
  <c r="BT935" i="1"/>
  <c r="BF936" i="1"/>
  <c r="BT936" i="1"/>
  <c r="BF937" i="1"/>
  <c r="BT937" i="1"/>
  <c r="BF938" i="1"/>
  <c r="BT938" i="1"/>
  <c r="BF939" i="1"/>
  <c r="BT939" i="1"/>
  <c r="BF940" i="1"/>
  <c r="BT940" i="1"/>
  <c r="BF941" i="1"/>
  <c r="BT941" i="1"/>
  <c r="BF942" i="1"/>
  <c r="BT942" i="1"/>
  <c r="BF943" i="1"/>
  <c r="BT943" i="1"/>
  <c r="BF944" i="1"/>
  <c r="BT944" i="1"/>
  <c r="BF945" i="1"/>
  <c r="BT945" i="1"/>
  <c r="BF946" i="1"/>
  <c r="BT946" i="1"/>
  <c r="BF947" i="1"/>
  <c r="BT947" i="1"/>
  <c r="BF948" i="1"/>
  <c r="BT948" i="1"/>
  <c r="BF949" i="1"/>
  <c r="BT949" i="1"/>
  <c r="BF950" i="1"/>
  <c r="BT950" i="1"/>
  <c r="BF951" i="1"/>
  <c r="BT951" i="1"/>
  <c r="BF952" i="1"/>
  <c r="BT952" i="1"/>
  <c r="BF953" i="1"/>
  <c r="BT953" i="1"/>
  <c r="BF954" i="1"/>
  <c r="BT954" i="1"/>
  <c r="BF955" i="1"/>
  <c r="BT955" i="1"/>
  <c r="BF956" i="1"/>
  <c r="BT956" i="1"/>
  <c r="BF957" i="1"/>
  <c r="BT957" i="1"/>
  <c r="BF958" i="1"/>
  <c r="BT958" i="1"/>
  <c r="BF959" i="1"/>
  <c r="BT959" i="1"/>
  <c r="BF960" i="1"/>
  <c r="BT960" i="1"/>
  <c r="BF961" i="1"/>
  <c r="BT961" i="1"/>
  <c r="BF962" i="1"/>
  <c r="BT962" i="1"/>
  <c r="BF963" i="1"/>
  <c r="BT963" i="1"/>
  <c r="BF964" i="1"/>
  <c r="BT964" i="1"/>
  <c r="BF965" i="1"/>
  <c r="BT965" i="1"/>
  <c r="BF966" i="1"/>
  <c r="BT966" i="1"/>
  <c r="BF967" i="1"/>
  <c r="BT967" i="1"/>
  <c r="BF968" i="1"/>
  <c r="BT968" i="1"/>
  <c r="BF969" i="1"/>
  <c r="BT969" i="1"/>
  <c r="BF970" i="1"/>
  <c r="BT970" i="1"/>
  <c r="BF971" i="1"/>
  <c r="BT971" i="1"/>
  <c r="BF972" i="1"/>
  <c r="BT972" i="1"/>
  <c r="BF973" i="1"/>
  <c r="BT973" i="1"/>
  <c r="BF974" i="1"/>
  <c r="BT974" i="1"/>
  <c r="BF975" i="1"/>
  <c r="BT975" i="1"/>
  <c r="BF976" i="1"/>
  <c r="BT976" i="1"/>
  <c r="BF977" i="1"/>
  <c r="BT977" i="1"/>
  <c r="BF978" i="1"/>
  <c r="BT978" i="1"/>
  <c r="BF979" i="1"/>
  <c r="BT979" i="1"/>
  <c r="BF980" i="1"/>
  <c r="BT980" i="1"/>
  <c r="BF981" i="1"/>
  <c r="BT981" i="1"/>
  <c r="BF982" i="1"/>
  <c r="BT982" i="1"/>
  <c r="BF983" i="1"/>
  <c r="BT983" i="1"/>
  <c r="BF984" i="1"/>
  <c r="BT984" i="1"/>
  <c r="BF985" i="1"/>
  <c r="BT985" i="1"/>
  <c r="BF986" i="1"/>
  <c r="BT986" i="1"/>
  <c r="BF987" i="1"/>
  <c r="BT987" i="1"/>
  <c r="BF988" i="1"/>
  <c r="BT988" i="1"/>
  <c r="BF989" i="1"/>
  <c r="BT989" i="1"/>
  <c r="BF990" i="1"/>
  <c r="BT990" i="1"/>
  <c r="BF991" i="1"/>
  <c r="BT991" i="1"/>
  <c r="BF992" i="1"/>
  <c r="BT992" i="1"/>
  <c r="BF993" i="1"/>
  <c r="BT993" i="1"/>
  <c r="BF994" i="1"/>
  <c r="BT994" i="1"/>
  <c r="BF995" i="1"/>
  <c r="BT995" i="1"/>
  <c r="BT996" i="1"/>
  <c r="BT997" i="1"/>
  <c r="BT998" i="1"/>
  <c r="BF999" i="1"/>
  <c r="BT999" i="1"/>
  <c r="BF1000" i="1"/>
  <c r="BT1000" i="1"/>
  <c r="BT1001" i="1"/>
</calcChain>
</file>

<file path=xl/sharedStrings.xml><?xml version="1.0" encoding="utf-8"?>
<sst xmlns="http://schemas.openxmlformats.org/spreadsheetml/2006/main" count="59796" uniqueCount="14792">
  <si>
    <t>Publication Type</t>
  </si>
  <si>
    <t>Authors</t>
  </si>
  <si>
    <t>Book Authors</t>
  </si>
  <si>
    <t>Book Editors</t>
  </si>
  <si>
    <t>Book Group Authors</t>
  </si>
  <si>
    <t>Author Full Names</t>
  </si>
  <si>
    <t>Book Author Full Names</t>
  </si>
  <si>
    <t>Group Authors</t>
  </si>
  <si>
    <t>Article Title</t>
  </si>
  <si>
    <t>Source Title</t>
  </si>
  <si>
    <t>Book Series Title</t>
  </si>
  <si>
    <t>Book Series Subtitle</t>
  </si>
  <si>
    <t>Language</t>
  </si>
  <si>
    <t>Document Type</t>
  </si>
  <si>
    <t>Conference Title</t>
  </si>
  <si>
    <t>Conference Date</t>
  </si>
  <si>
    <t>Conference Location</t>
  </si>
  <si>
    <t>Conference Sponsor</t>
  </si>
  <si>
    <t>Conference Host</t>
  </si>
  <si>
    <t>Author Keywords</t>
  </si>
  <si>
    <t>Keywords Plus</t>
  </si>
  <si>
    <t>Abstract</t>
  </si>
  <si>
    <t>Addresses</t>
  </si>
  <si>
    <t>Affiliations</t>
  </si>
  <si>
    <t>Reprint Addresses</t>
  </si>
  <si>
    <t>Email Addresses</t>
  </si>
  <si>
    <t>Researcher Ids</t>
  </si>
  <si>
    <t>ORCIDs</t>
  </si>
  <si>
    <t>Funding Orgs</t>
  </si>
  <si>
    <t>Funding Name Preferred</t>
  </si>
  <si>
    <t>Funding Text</t>
  </si>
  <si>
    <t>Cited References</t>
  </si>
  <si>
    <t>Cited Reference Count</t>
  </si>
  <si>
    <t>Times Cited, WoS Core</t>
  </si>
  <si>
    <t>Times Cited, All Databases</t>
  </si>
  <si>
    <t>180 Day Usage Count</t>
  </si>
  <si>
    <t>Since 2013 Usage Count</t>
  </si>
  <si>
    <t>Publisher</t>
  </si>
  <si>
    <t>Publisher City</t>
  </si>
  <si>
    <t>Publisher Address</t>
  </si>
  <si>
    <t>ISSN</t>
  </si>
  <si>
    <t>eISSN</t>
  </si>
  <si>
    <t>ISBN</t>
  </si>
  <si>
    <t>Journal Abbreviation</t>
  </si>
  <si>
    <t>Journal ISO Abbreviation</t>
  </si>
  <si>
    <t>Publication Date</t>
  </si>
  <si>
    <t>Publication Year</t>
  </si>
  <si>
    <t>Volume</t>
  </si>
  <si>
    <t>Issue</t>
  </si>
  <si>
    <t>Part Number</t>
  </si>
  <si>
    <t>Supplement</t>
  </si>
  <si>
    <t>Special Issue</t>
  </si>
  <si>
    <t>Meeting Abstract</t>
  </si>
  <si>
    <t>Start Page</t>
  </si>
  <si>
    <t>End Page</t>
  </si>
  <si>
    <t>Article Number</t>
  </si>
  <si>
    <t>DOI</t>
  </si>
  <si>
    <t>DOI Link</t>
  </si>
  <si>
    <t>Book DOI</t>
  </si>
  <si>
    <t>Early Access Date</t>
  </si>
  <si>
    <t>Number of Pages</t>
  </si>
  <si>
    <t>WoS Categories</t>
  </si>
  <si>
    <t>Web of Science Index</t>
  </si>
  <si>
    <t>Research Areas</t>
  </si>
  <si>
    <t>IDS Number</t>
  </si>
  <si>
    <t>Pubmed Id</t>
  </si>
  <si>
    <t>Open Access Designations</t>
  </si>
  <si>
    <t>Highly Cited Status</t>
  </si>
  <si>
    <t>Hot Paper Status</t>
  </si>
  <si>
    <t>Date of Export</t>
  </si>
  <si>
    <t>UT (Unique WOS ID)</t>
  </si>
  <si>
    <t>Web of Science Record</t>
  </si>
  <si>
    <t>J</t>
  </si>
  <si>
    <t>Sattley, WM; Madigan, MT</t>
  </si>
  <si>
    <t/>
  </si>
  <si>
    <t>Sattley, W. Matthew; Madigan, Michael T.</t>
  </si>
  <si>
    <t>Isolation, characterization, and ecology of cold-active, chemolithotrophic, sulfur-oxidizing bacteria from perennially ice-covered lake Fryxell, Antarctica</t>
  </si>
  <si>
    <t>APPLIED AND ENVIRONMENTAL MICROBIOLOGY</t>
  </si>
  <si>
    <t>English</t>
  </si>
  <si>
    <t>Article</t>
  </si>
  <si>
    <t>WATER HYDROTHERMAL VENT; MCMURDO DRY VALLEYS; SP-NOV.; GEN.-NOV.; MICROBIAL MAT; AEGEAN SEA; DIVERSITY; MARINE; CHEMOLITHOAUTOTROPH; RECLASSIFICATION</t>
  </si>
  <si>
    <t>Novel strains of obligately chemolithoautotrophic, sulfur-oxidizing bacteria have been isolated from various depths of Lake Fryxell, Antarctica. Physiological, morphological, and phylogenetic analyses showed these strains to be related to mesophilic Thiobacillus species, such as T. thioparus. However, the psychrotolerant Antarctic isolates showed an adaptation to cold temperatures and thus should be active in the nearly freezing waters of the lake. Enumeration by most-probable-number analysis in an oxic, thiosulfate-containing medium revealed that the sulfur-oxidizing chemolithotroph population peaks precisely at the oxycline (9.5 m), although viable cells exist well into the anoxic, sulfidic waters of the lake. The sulfur-oxidizing bacteria described here likely play a key role in the biogeochemical cycling of carbon and sulfur in Lake Fryxell.</t>
  </si>
  <si>
    <t>So Illinois Univ, Dept Microbiol, Carbondale, IL 62901 USA</t>
  </si>
  <si>
    <t>Southern Illinois University System; Southern Illinois University</t>
  </si>
  <si>
    <t>Madigan, MT (corresponding author), So Illinois Univ, Dept Microbiol, Carbondale, IL 62901 USA.</t>
  </si>
  <si>
    <t>madigan@micro.siu.edu</t>
  </si>
  <si>
    <t>Sattley, W. Matthew/0000-0001-6712-2836</t>
  </si>
  <si>
    <t>AMER SOC MICROBIOLOGY</t>
  </si>
  <si>
    <t>WASHINGTON</t>
  </si>
  <si>
    <t>1752 N ST NW, WASHINGTON, DC 20036-2904 USA</t>
  </si>
  <si>
    <t>0099-2240</t>
  </si>
  <si>
    <t>1098-5336</t>
  </si>
  <si>
    <t>APPL ENVIRON MICROB</t>
  </si>
  <si>
    <t>Appl. Environ. Microbiol.</t>
  </si>
  <si>
    <t>AUG</t>
  </si>
  <si>
    <t>10.1128/AEM.00702-06</t>
  </si>
  <si>
    <t>Biotechnology &amp; Applied Microbiology; Microbiology</t>
  </si>
  <si>
    <t>Science Citation Index Expanded (SCI-EXPANDED)</t>
  </si>
  <si>
    <t>073ZC</t>
  </si>
  <si>
    <t>Green Published</t>
  </si>
  <si>
    <t>2024-04-21</t>
  </si>
  <si>
    <t>WOS:000239780400053</t>
  </si>
  <si>
    <t>Olsen, RE; Suontama, J; Langmyhr, E; Mundheim, H; Ringo, E; Melle, W; Malde, MK; Hemre, GI</t>
  </si>
  <si>
    <t>Olsen, R. E.; Suontama, J.; Langmyhr, E.; Mundheim, H.; Ringo, E.; Melle, W.; Malde, M. K.; Hemre, G. -I.</t>
  </si>
  <si>
    <t>The replacement of fish meal with Antarctic krill, Euphausia superba in diets for Atlantic salmon, Salmo salar</t>
  </si>
  <si>
    <t>AQUACULTURE NUTRITION</t>
  </si>
  <si>
    <t>chitin; digestibility; fatty acid composition; feed utilization; growth rate; krill</t>
  </si>
  <si>
    <t>RAINBOW-TROUT SALMO; CHITINOLYTIC ENZYMES; BLOOD-CHEMISTRY; AMINO-ACIDS; FEEDS; L.; DIGESTIBILITY; CHITOSAN; FLUORIDE; GROWTH</t>
  </si>
  <si>
    <t>A total of six isoprotein and isolipid diets for Atlantic salmon, Salmo salar L., were prepared substituting from 0 to 100% of fish meal protein (0-68% of diet by dry weight) with meal from Antarctic krill (Euphausia superba). The feed produced from high inclusion levels of krill meal had lower ability to absorb lipid during vacuum coating than fish meal. Both amino acid and fatty acid compositions of the diets were fairly similar. The experiment commenced using salmon averaging 500 g and ended at a mean weight of 1500-1800 g (140 days of feeding). Moderate amounts of krill meal (20-60% of krill protein) in the diets increased growth during the first 71 days of feeding compared with the fish meal control, while no growth difference was observed during the last 69 days of feeding. This may, at least in parts, be explained by a feed-attractant function of the krill meal. Muscle dry weight and lipid concentrations were unaffected by the diet. Feed conversion rate increased with high levels of krill meal in the diets (e. g. for the last period from 0.94 in the 0% diet to 1.26 in the 100% diet). This indicates that the fish were able to compensate by eating more to maintain growth. The apparent digestibility coefficients of dry matter and protein were not influenced by diet, but both faecal moisture and lipid had a tendency to increase at the highest inclusion level (all protein from krill meal). This may be related to chitin in the krill diet that is known to decrease lipid absorption and induce diarrhoea (increased water content in faeces). Chitin was not utilized to any major extent. Welfare parameters such as blood haemoglobin, red blood cell counts, plasma protein, cholesterol, triacylglycerols and glucose levels were unaffected by diets. Clinical indicators of cellular damage (alanine aminotransferase and aspartate aminotransferase) were similar indicating no diet-induced tissue damage during the trial.</t>
  </si>
  <si>
    <t>Marine Aquaculture Res Stn, Inst Marine Res, N-5984 Matredal, Norway; Norwegian Inst Fisheries &amp; Aquaculture Res, Fyllingsdalen, Norway; Norwegian Sch Vet Sci, Sect Vet Med, Dept Food Safety &amp; Infect Biol, Tromso, Norway; NIFES, Bergen, Norway; Inst Marine Res, N-5024 Bergen, Norway</t>
  </si>
  <si>
    <t>Institute of Marine Research - Norway; Norwegian University of Life Sciences; Institute of Marine Research - Norway</t>
  </si>
  <si>
    <t>Olsen, RE (corresponding author), Marine Aquaculture Res Stn, Inst Marine Res, N-5984 Matredal, Norway.</t>
  </si>
  <si>
    <t>rolf.erik.olsen@imr.no</t>
  </si>
  <si>
    <t>Kjellevold, Marian/Q-6334-2019</t>
  </si>
  <si>
    <t>Kjellevold, Marian/0000-0001-7070-5784; Olsen, Rolf Erik/0000-0002-6633-5837; Olsen, Rolf/0000-0001-7523-3165</t>
  </si>
  <si>
    <t>WILEY</t>
  </si>
  <si>
    <t>HOBOKEN</t>
  </si>
  <si>
    <t>111 RIVER ST, HOBOKEN 07030-5774, NJ USA</t>
  </si>
  <si>
    <t>1353-5773</t>
  </si>
  <si>
    <t>1365-2095</t>
  </si>
  <si>
    <t>AQUACULT NUTR</t>
  </si>
  <si>
    <t>Aquac. Nutr.</t>
  </si>
  <si>
    <t>10.1111/j.1365-2095.2006.00400.x</t>
  </si>
  <si>
    <t>Fisheries</t>
  </si>
  <si>
    <t>059OI</t>
  </si>
  <si>
    <t>WOS:000238741700005</t>
  </si>
  <si>
    <t>AEgisdottir, HH; Thórhallsdóttir, TE</t>
  </si>
  <si>
    <t>Aegisdottir, Hafdis Hanna; Thorhallsdottir, Thora Ellen</t>
  </si>
  <si>
    <t>Breeding system evolution in the Arctic:: a comparative study of Campanula uniflora in Greenland and Iceland</t>
  </si>
  <si>
    <t>ARCTIC ANTARCTIC AND ALPINE RESEARCH</t>
  </si>
  <si>
    <t>FLOWERING PHENOLOGY; MT-OLYMPOS; ALPINE; POLLINATION; POPULATIONS; STRATEGIES; DICHOGAMY</t>
  </si>
  <si>
    <t>The breeding system and floral development were compared in mid-range (West Greenland) and marginal (North Iceland) populations of Campanula uniflora, a widespread high arctic species which is rare in large parts of its range. Seed set and germination were compared among outcrossed, passively and actively selfed, and control flowers. There were no significant differences in seed set or seed quality among treatments or populations. Seed viability was high and germination rapid following GA 3 pretreatment in both populations, but germination was delayed by a week in the Icelandic seeds. The populations showed similar flowering phenology with a short and synchronized flowering period. While the population in Greenland had a floral development typical of the genus Campanula, the Icelandic flowers can be classified as pre-anthesis cleistogamous. Both populations appeared to be predominantly inbreeding, despite being protandrous with pollen released before the flower opened. This method of pollen deposition is interpreted as a secondary mechanism of reproductive assurance, securing seed production. This indicates that an evolutionary switch has occurred, from selection for outbreeding in the ancestral group toward inbreeding in the only truly high arctic species in the genus.</t>
  </si>
  <si>
    <t>Univ Basel, Inst Bot, CH-4056 Basel, Switzerland; Askja Univ Iceland, Inst Biol, IS-101 Reykjavik, Iceland</t>
  </si>
  <si>
    <t>University of Basel</t>
  </si>
  <si>
    <t>AEgisdottir, HH (corresponding author), Univ Basel, Inst Bot, Schonbeinstr 6, CH-4056 Basel, Switzerland.</t>
  </si>
  <si>
    <t>Hafdis-Hanna.Aegisdottir@unibas.ch</t>
  </si>
  <si>
    <t>TAYLOR &amp; FRANCIS LTD</t>
  </si>
  <si>
    <t>ABINGDON</t>
  </si>
  <si>
    <t>2-4 PARK SQUARE, MILTON PARK, ABINGDON OR14 4RN, OXON, ENGLAND</t>
  </si>
  <si>
    <t>1523-0430</t>
  </si>
  <si>
    <t>1938-4246</t>
  </si>
  <si>
    <t>ARCT ANTARCT ALP RES</t>
  </si>
  <si>
    <t>Arct. Antarct. Alp. Res.</t>
  </si>
  <si>
    <t>10.1657/1523-0430(2006)38[305:BSEITA]2.0.CO;2</t>
  </si>
  <si>
    <t>Environmental Sciences; Geography, Physical</t>
  </si>
  <si>
    <t>Environmental Sciences &amp; Ecology; Physical Geography</t>
  </si>
  <si>
    <t>083IM</t>
  </si>
  <si>
    <t>Green Submitted</t>
  </si>
  <si>
    <t>WOS:000240449600001</t>
  </si>
  <si>
    <t>Ayling, BF; McGowan, HA</t>
  </si>
  <si>
    <t>Ayling, Bridget F.; McGowan, Hamish A.</t>
  </si>
  <si>
    <t>Niveo-eolian sediment deposits in coastal South Victoria Land, Antarctica: Indicators of regional variability in weather and climate</t>
  </si>
  <si>
    <t>LAST GLACIAL MAXIMUM; MCMURDO DRY VALLEYS; GREENLAND ICE CORE; DOME-C; DUST DEPOSITION; RECORD; VOSTOK; WIND; AEROSOL; ORIGIN</t>
  </si>
  <si>
    <t>A 35 year chronology from 1965 to 2000 of the deposition of wind-blown sediment is constructed from snowpits for coastal southern Victoria Land, Antarctica. Analysis of local meteorology, contemporary eolian sedimentation, and mineralogy confirm a Victoria Valley provenance, while the presence of volcanic tephra is ascribed to an Erebus volcanic province source. Winter foelm winds associated with anticyclonic circulation are considered responsible for transporting fine-grained sediment from the snow- and ice-free Victoria Valley east toward the coast, while cyclonic storms transport tephra north along the Scott Coast. No trend could be identified in the occurrence of either tephra or wind-blown sediments sourced from the Victoria Valley and retrieved from the snowpits; excavated on the Victoria Lower and Wilson Piedmont Glaciers. We infer this to indicate that the region has not undergone a significant change in weather patterns for at least the last 35 years. Our results also confirm the McMurdo Dry Valleys as a regionally significant source of wind-blown sediment.</t>
  </si>
  <si>
    <t>Univ Queensland, Sch Geog Planning &amp; Architecture, St Lucia, Qld 4072, Australia; Australian Natl Univ, Res Sch Earth Sci, Canberra, ACT 0200, Australia</t>
  </si>
  <si>
    <t>University of Queensland; Australian National University</t>
  </si>
  <si>
    <t>McGowan, HA (corresponding author), Univ Queensland, Sch Geog Planning &amp; Architecture, St Lucia, Qld 4072, Australia.</t>
  </si>
  <si>
    <t>h.mcgowan@uq.edu.au</t>
  </si>
  <si>
    <t>McGowan, Hamish/AAD-9607-2021</t>
  </si>
  <si>
    <t>Ayling, Bridget/0000-0002-0102-5280</t>
  </si>
  <si>
    <t>INST ARCTIC ALPINE RES</t>
  </si>
  <si>
    <t>BOULDER</t>
  </si>
  <si>
    <t>UNIV COLORADO, BOULDER, CO 80309 USA</t>
  </si>
  <si>
    <t>10.1657/1523-0430(2006)38[313:NSDICS]2.0.CO;2</t>
  </si>
  <si>
    <t>Bronze, Green Submitted</t>
  </si>
  <si>
    <t>WOS:000240449600002</t>
  </si>
  <si>
    <t>Brown, CS; Mark, AF; Kershaw, GP; Dickinson, KJM</t>
  </si>
  <si>
    <t>Brown, C. Stewart; Mark, Alan F.; Kershaw, G. Peter; Dickinson, Katharine J. M.</t>
  </si>
  <si>
    <t>Secondar succession 24 years after disturbance of a New Zealand high-alpine cushionfield</t>
  </si>
  <si>
    <t>SOUTH-ISLAND; ECOLOGICAL SUCCESSION; VEGETATION DYNAMICS; COMMUNITY; TUNDRA; SEED; MODELS; REVEGETATION; CHIONOCHLOA; MECHANISMS</t>
  </si>
  <si>
    <t>Severe road-making disturbance of a New Zealand high-alpine cushionfield initiated a secondary succession which has been assessed against the adjacent undisturbed community with permanent transects over 24 yrs. The succession has recently (yrs 11-24) accelerated as areas of bare soil-stone pavement continue to be colonized. Total plant cover has increased on the disturbed sites over this period (from 36 to 48%) and is now within the range of that in the intact cushionfield (48-59%), while the early dominant graminoids, particularly Poa colensoi, are now declining as other species establish. Floristic richness in the recovering system (33 species) now exceeds that of the intact cushionfield (21-27 species) with establishment of nine apparently seral species plus several mainly cushion species characteristic of the undisturbed cushionfield. Transition probabilities among seven recognized cover states for the most recent period (1986-1999) further clarify the succession by showing the other species category increasing in importance at the expense of the other six states. This contrasts with the relative stability of the intact cushionfield where autotransitions predominate over the same period. The severe high-alpine environment rather than physical differences between the disturbed and undisturbed sites appears to be limiting the rate of succession toward the undisturbed state. Despite establishment of several characteristic cushionfield species, the still minor role of its dominant, Dracophyllum muscoides (1% vs. 26-32% cover), indicates that the succession remains far from complete. Among the various succession models, autosuccession is untenable given the establishment of nine apparently seral species; only the inhibition and intermediate disturbance hypotheses could be entertained with the results to date.</t>
  </si>
  <si>
    <t>Univ Alberta, Dept Earth &amp; Atmospher Sci, Edmonton, AB T6G 2E3, Canada; Univ Otago, Dept Bot, Dunedin, New Zealand</t>
  </si>
  <si>
    <t>University of Alberta; University of Otago</t>
  </si>
  <si>
    <t>Mark, AF (corresponding author), Univ Alberta, Dept Earth &amp; Atmospher Sci, Edmonton, AB T6G 2E3, Canada.</t>
  </si>
  <si>
    <t>amark@otago.ac.nz</t>
  </si>
  <si>
    <t>Dickinson, Katharine/M-1728-2017</t>
  </si>
  <si>
    <t>Dickinson, Katharine/0000-0001-6769-552X</t>
  </si>
  <si>
    <t>10.1657/1523-0430(2006)38[325:SSYADO]2.0.CO;2</t>
  </si>
  <si>
    <t>WOS:000240449600003</t>
  </si>
  <si>
    <t>Cockell, CS; Stokes, MD</t>
  </si>
  <si>
    <t>Cockell, Charles S.; Stokes, M. Dale</t>
  </si>
  <si>
    <t>Hypolithic colonization of opaque rocks in the Arctic and Antarctic Polar Desert</t>
  </si>
  <si>
    <t>ABUNDANCE; ECOLOGY; ISLAND; ALGAE; LIGHT</t>
  </si>
  <si>
    <t>The colonization of the underside of rocks normally requires that the material is sufficiently translucent to allow the penetration of photosynthetically active radiation. We examined the underside of 950 opaque rocks in sixteen locations in the Arctic for hypolithic colonization by photosynthetic microorganisms. Greater than 90% of rocks were colonized. The mean width of the bands of colonization was 3.1 +/- 1.9 cm on Devon Island, and 3.0 +/- 1.6 cm on Cornwallis Island. The width of the bands of colonization was less in the interior of frost-sorted polygons compared to their edges (in the arctic location, 0.7 +/- 0.8 and 3.6 +/- 1.4 cm in the interior and at the edges, respectively), suggesting the importance of frost sorting in enhancing the penetration of light around the edges of rocks to their undersides, and thus allowing colonization by photosynthetic organisms. We observed a similar pattern of colonization in antarctic polygons. The hypolithic habitat provides protection from environmental extremes. We show that within the hypolithic habitat organisms are protected from UV radiation. From radiolabeled carbon uptake measurements we estimate the productivity of the arctic communities to be approximately 0.8 g m(-2) a(-1), potentially as high as above-ground productivity. We discuss the potential implications of climate change for these communities.</t>
  </si>
  <si>
    <t>British Antarctic Survey, Cambridge CB3 0ET, England; Scripps Inst Oceanog, Marine Phys Lab, La Jolla, CA 92037 USA</t>
  </si>
  <si>
    <t>UK Research &amp; Innovation (UKRI); Natural Environment Research Council (NERC); NERC British Antarctic Survey; University of California System; University of California San Diego; Scripps Institution of Oceanography</t>
  </si>
  <si>
    <t>Cockell, CS (corresponding author), British Antarctic Survey, High Cross,Madingley Rd, Cambridge CB3 0ET, England.</t>
  </si>
  <si>
    <t>c.s.cockell@open.ac.uk</t>
  </si>
  <si>
    <t>10.1657/1523-0430(2006)38[335:HCOORI]2.0.CO;2</t>
  </si>
  <si>
    <t>WOS:000240449600004</t>
  </si>
  <si>
    <t>Fernandez-Leborans, G; Arndt, CE; Gabilondo, R</t>
  </si>
  <si>
    <t>Fernandez-Leborans, Gregorio; Arndt, Carolin E.; Gabilondo, Regina</t>
  </si>
  <si>
    <t>Protozoan epibionts and their distribution on the Arctic ice-amphipod Gammarus wilkitzkii from Spitsbergen, Norway</t>
  </si>
  <si>
    <t>SYMPAGIC MACRO-FAUNA; SEA-ICE; CRUSTACEANS; SVALBARD</t>
  </si>
  <si>
    <t>Specimens of the Arctic sympagic amphipod Gammarus wilkitzkii, which were collected in the ice-covered areas near Spitsbergen, Norway, were infested with protozoan epibionts in densities of 499 to 3346 individuals per amphipod. The epibionts belong to the five ciliate genera: Ephelota, Cryptacineta, Acineta and Podophrya (suctorian ciliates), and Epistylis (peritrich ciliate). In this study we present the first observations of epibionts on ice-associated crustaceans and provide a detailed description of morphological and taxonomical aspects of the different ciliate genera. Cryptacineta has not been found earlier in the marine environment. This ciliate showed the highest density values (215-2571 individuals per amphipod), followed by Ephelota (2-1302 ind./amphipod). The number of individuals of Acineta, Podophrya, and Epistylis did not surpass 240 ind./amphipod. Epibionts colonized all appendages and the entire body surface, but were most numerous on the anterior body part of G. wilkitzkii. The body length of the gammarid and the number of epibionts of Ephelota, Podophrya, and Epistylis were positively correlated. The highest density of epibionts was found on the anterior body parts with the antennae bearing up to 613 individuals. In contrast, the posterior body showed only little burden. The number of epibionts along the caput-telson axis of the amphipod body shows a decrease towards the posterior end of the amphipod. The highest degree of infestation was found on females, followed by juveniles and eventually, males. When grouping the 37 anatomical units (including left and right appendages) to 8 body regions, the pereiopods, as a whole, showed the highest density (39.25%), followed by the gnathopods (22.29%), and antermulae and antennae. Basibiont got infested with the sessile ciliates in the benthic and pelagic environment during the ice-free season and carried them along back to the sympagic ecosystem when colonizing the newly formed ice. Epibionts; are therefore considered as indicators for bentho-sympagic coupling processes.</t>
  </si>
  <si>
    <t>Univ Complutense, Fac Biol, Dept Zool, E-28040 Madrid, Spain; Univ Ctr Svalbard, Dept Arctic Biol, N-9170 Longyearbyen, Norway</t>
  </si>
  <si>
    <t>Complutense University of Madrid; University Centre Svalbard (UNIS)</t>
  </si>
  <si>
    <t>Fernandez-Leborans, G (corresponding author), Univ Complutense, Fac Biol, Dept Zool, Pnta 9, E-28040 Madrid, Spain.</t>
  </si>
  <si>
    <t>greg@bio.ucm.es</t>
  </si>
  <si>
    <t>Gabilondo, Regina/0000-0002-4591-9868</t>
  </si>
  <si>
    <t>10.1657/1523-0430(2006)38[343:PEATDO]2.0.CO;2</t>
  </si>
  <si>
    <t>WOS:000240449600005</t>
  </si>
  <si>
    <t>Gobbi, M; De Bernardi, F; Pelfini, M; Rossaro, B; Brandmayr, P</t>
  </si>
  <si>
    <t>Gobbi, Mauro; De Bernardi, Fiorenza; Pelfini, Manuela; Rossaro, Bruno; Brandmayr, Pietro</t>
  </si>
  <si>
    <t>Epigean arthropod succession along a 154-year glacier foreland cronosequence in the Forni Valley (Central Italian Alps)</t>
  </si>
  <si>
    <t>COLEOPTERA; VEGETATION</t>
  </si>
  <si>
    <t>The 154-year (1850-2004) chronosequence of the Forni Glacier foreland has been studied by sampling ant, centipede, ground beetle, and spider species assemblages. Species numbers increase with terrain age along the chronosequence from 2 to 26 on the oldest soils. Thirty-nine species were collected; species richness and diversity (Shannon's Index) of communities are correlated to the year of soil deglaciation. Shannon Index values increase with sites deglaciated between I and 61 years ago; sites deglaciated between 61 and 78 years ago produce similar values, and those deglaciated 78 to 154 years ago show a further increase in diversity. Ground beetles and spiders are found at all sites, while ants and centipedes were associated with mature forest soils. On the glacier surface, pioneer species such as the wolf-spider Pardosa saturatior and the ground beetle Oreonebria castanea permanently inhabit the supraglacial detritus surviving on trophic resources. Wingless ground beetle species are associated with mature soils, especially those with high hydric stability. Open land species typical of primary succession are found in the pioneer and intermediate stages, while community assemblages found on older terrain are linked to forest vegetation structure and dynamics.</t>
  </si>
  <si>
    <t>Univ Milan, Dept Biol, I-20133 Milan, Italy; Univ Milan, Dept Earth Sci, I-20133 Milan, Italy; Univ Calabria, Dept Ecol, I-87036 Cosenza, Italy</t>
  </si>
  <si>
    <t>University of Milan; University of Milan; University of Calabria</t>
  </si>
  <si>
    <t>Gobbi, M (corresponding author), Univ Milan, Dept Biol, Via Celoria 26, I-20133 Milan, Italy.</t>
  </si>
  <si>
    <t>mauro.gobbi@unimi.it</t>
  </si>
  <si>
    <t>Rossaro, Bruno/G-4999-2015; Brandmayr, Pietro/B-3022-2014; Gobbi, Mauro/A-7331-2009</t>
  </si>
  <si>
    <t>Rossaro, Bruno/0000-0001-6154-1191; Brandmayr, Pietro/0000-0002-6753-4897; Gobbi, Mauro/0000-0002-1704-4857; Pelfini, Manuela/0000-0002-3258-1511</t>
  </si>
  <si>
    <t>10.1657/1523-0430(2006)38[357:EASAAY]2.0.CO;2</t>
  </si>
  <si>
    <t>WOS:000240449600006</t>
  </si>
  <si>
    <t>Hobara, S; McCalley, C; Koba, K; Giblin, AE; Weiss, MS; Gettel, GM; Shaver, GR</t>
  </si>
  <si>
    <t>Hobara, Satoru; McCalley, Carmody; Koba, Keisuke; Giblin, Anne E.; Weiss, Marissa S.; Gettel, Gretchen M.; Shaver, Gaius R.</t>
  </si>
  <si>
    <t>Nitrogen fixation in surface soils and vegetation in an arctic tundra watershed: A key source of atmospheric nitrogen</t>
  </si>
  <si>
    <t>ACETYLENE-REDUCTION; CONVERSION FACTOR; CARBON STORAGE; ECOSYSTEM; DIVERSITY; NUTRIENTS; RESPONSES; BALANCE; RATES</t>
  </si>
  <si>
    <t>Atmospheric nitrogen (N) fixation is a key N input to arctic ecosystems, but relatively few estimates of annual N-fixation rates are available. We measured N-fixation of plant-soil cores by the acetylene reduction technique at different topographic positions in an upland tundra watershed, Imnavait Creek, through two growing seasons in order to evaluate spatial and temporal variation in N-fixation. We also examined the effects of light and temperature on N-fixation to estimate annual N-fixation rates of surface soil in this watershed using field meteorological data. Surface soil at Immavait Creek had significant acetylene reduction potential throughout the watershed (generally 6 to 10 mu mol C2H4 m(-2) h(-1)), indicating that N-fixing organisms were present everywhere. Although acetylene reduction potential was roughly constant through the growing season, moisture, temperature and light intensity strongly affected the measured acetylene reduction rates in laboratory incubations. In addition, the relatively few samples that included the lichen, Peltigera apthosa, had significantly greater acetylene reduction potential, although the overall influence of Peltigera on N-fixation in this watershed seems to be small. The N input via N-fixation at Immavait Creek was estimated at 80 to 131 mg N m(-2) yr(-1), indicating that N-fixation contributed 85 to 90% of total watershed N inputs.</t>
  </si>
  <si>
    <t>Natl Inst Environm Studies, Ctr Global Environm Res, Tsukuba, Ibaraki 3058506, Japan; Marine Biol Lab, Ctr Ecosyst, Woods Hole, MA 02543 USA; Tokyo Inst Technol, Interdisciplinary Grad Sch Sci &amp; Engn, Yokohama, Kanagawa 2268502, Japan; Cornell Univ, Dept Ecol &amp; Evolutionary Biol, Ithaca, NY 14853 USA</t>
  </si>
  <si>
    <t>National Institute for Environmental Studies - Japan; Marine Biological Laboratory - Woods Hole; Tokyo Institute of Technology; Cornell University</t>
  </si>
  <si>
    <t>Hobara, S (corresponding author), Natl Inst Environm Studies, Ctr Global Environm Res, Onogawa 16-2, Tsukuba, Ibaraki 3058506, Japan.</t>
  </si>
  <si>
    <t>shobara@rakuno.ac.jp</t>
  </si>
  <si>
    <t>Koba, Keisuke/A-3699-2012; Giblin, Anne/AAV-6838-2020; Gettel, Gretchen/M-8983-2013</t>
  </si>
  <si>
    <t>Koba, Keisuke/0000-0003-1942-9811; Giblin, Anne/0000-0003-3851-2178; Gettel, Gretchen/0000-0002-9288-1583</t>
  </si>
  <si>
    <t>10.1657/1523-0430(2006)38[363:NFISSA]2.0.CO;2</t>
  </si>
  <si>
    <t>Green Submitted, Bronze</t>
  </si>
  <si>
    <t>WOS:000240449600007</t>
  </si>
  <si>
    <t>Holt, EA; McCune, B; Neitlich, P</t>
  </si>
  <si>
    <t>Holt, Emily A.; McCune, Bruce; Neitlich, Peter</t>
  </si>
  <si>
    <t>Defining a successional metric for lichen communities in the arctic tundra</t>
  </si>
  <si>
    <t>NORTHWEST-TERRITORIES; RECOVERY SEQUENCE; NORTHERN QUEBEC; BOREAL FOREST; VEGETATION; POSTFIRE; WOODLAND; CARIBOU; CANADA; GROWTH</t>
  </si>
  <si>
    <t>We provide an index of successional status for arctic macrolichen communities based on a synthesis of literature reports. We amassed research from the past 50 years that studied lichen communities following disturbance, such as fire or grazing. Species scores were derived from these reports depending on when a particular macrolichen species appeared following disturbance. Weighted averaging of these data with a community matrix can create a successional score for each sample unit of interest. These scores can be used as a surrogate for community age estimates that are otherwise difficult to obtain from tundra environments above treeline. We test this approach using an example data set of macrolichen communities collected from the Bering Land Bridge National Preserve, Alaska. We found that our successional scores represented roughly 17 and 19% of the community variation, depending on whether the community data set was binary or quantitative. Abundance data tended to yield successional scores that were slightly higher (older) than those derived from a presence-absence data set. We recommend use of our successional metric for lichen communities throughout the arctic tundra to infer successional status of an area.</t>
  </si>
  <si>
    <t>Oregon State Univ, Dept Bot &amp; Plant Pathol, Corvallis, OR 97331 USA; Natl Pk Serv, Winthrop, WA 98862 USA</t>
  </si>
  <si>
    <t>Oregon State University; United States Department of the Interior</t>
  </si>
  <si>
    <t>Holt, EA (corresponding author), Oregon State Univ, Dept Bot &amp; Plant Pathol, Cordley Hall 2082, Corvallis, OR 97331 USA.</t>
  </si>
  <si>
    <t>holtem@science.oregonstate.edu</t>
  </si>
  <si>
    <t>10.1657/1523-0430(2006)38[373:DASMFL]2.0.CO;2</t>
  </si>
  <si>
    <t>WOS:000240449600008</t>
  </si>
  <si>
    <t>Jensen, LA; Schmidt, LB; Hollesen, J; Elberling, B</t>
  </si>
  <si>
    <t>Jensen, Louise A.; Schmidt, Lea Bjerre; Hollesen, Jorgen; Elberling, Bo</t>
  </si>
  <si>
    <t>Accumulation of soil organic carbon linked to Holocene sea level changes in west Greenland</t>
  </si>
  <si>
    <t>ARCTIC TUNDRA; STORAGE; MATTER; STRATIGRAPHY; ECOSYSTEMS; POOLS; CO2</t>
  </si>
  <si>
    <t>Changes in the amount of soil organic carbon (SOC) stored in arctic soils may influence the global carbon cycle and be an important feedback mechanism to global climate changes. In order to estimate the carbon stock and accumulation rates at Flakkerhuk on Disko Island in West Greenland, an 1800-ha study area was divided into land cover types using a satellite image. Total SOC was estimated to be on average 67.3 ton C ha(-1) (6.7 kg m(-2)) and the fen area contributing 42% of the total SOC. Soil profiles investigated at different terraces revealed that the SOC stock was significantly age-related, increasing six fold from a terrace dated to 7000 (BP) to 2 one dated to 10,000 (BP). This equals an average soil C accumulation rate of 0.5 kg C m(-2) 100 yr(-1). This rate was compared to vegetation-specific accumulation rates in the last 7000 yr which were in the order of 0.05 kg C m(-2) 100 yr(-1) in heath and sparse vegetation, 0.4 in fen areas and between 2 and 5 kg C m(-2) the last 100 yr in the present salt marsh. The study shows the importance of landscape history and age when sampling and evaluating SOC stocks and provides estimates of arctic soil C accumulation rates during Holocene versus present rates.</t>
  </si>
  <si>
    <t>Univ Copenhagen, Inst Geog, DK-1350 Copenhagen, Denmark</t>
  </si>
  <si>
    <t>University of Copenhagen</t>
  </si>
  <si>
    <t>Elberling, B (corresponding author), Univ Copenhagen, Inst Geog, Oster Voldgade 10, DK-1350 Copenhagen, Denmark.</t>
  </si>
  <si>
    <t>be@geogr.ku.dk</t>
  </si>
  <si>
    <t>; Elberling, Bo/M-4000-2014</t>
  </si>
  <si>
    <t>Hollesen, Jorgen/0000-0001-8775-2026; Elberling, Bo/0000-0002-6023-885X</t>
  </si>
  <si>
    <t>10.1657/1523-0430(2006)38[378:AOSOCL]2.0.CO;2</t>
  </si>
  <si>
    <t>WOS:000240449600009</t>
  </si>
  <si>
    <t>Kidd, JG; Streever, B; Jorgenson, MT</t>
  </si>
  <si>
    <t>Kidd, Janet G.; Streever, Bill; Jorgenson, M. Torre</t>
  </si>
  <si>
    <t>Site characteristics and plant community development following partial gravel removal in an arctic oilfield</t>
  </si>
  <si>
    <t>REVEGETATION; ALASKA</t>
  </si>
  <si>
    <t>This paper describes the results of a revegetation experiment involving partial removal of gravel fill followed by various revegetation treatments on five sites in the Prudhoe Bay Oilfield on Alaska's Arctic Coastal Plain. Gravel fill was removed to a residual thickness of approximately 25 cm. Revegetation treatments were transplanted tundra plugs and fertilizer; seeding with indigenous graminoids and fertilizer; seeding with native-grass cultivars and fertilizer; fertilizer only; and no treatment. We monitored surface stability, soil characteristics, and vegetation response from 1990 to 2003. Thaw settlement of 17-40 cm occurred over most areas (with &gt; 1 m over areas with ice wedges) between 1990 and 1997; sites had mostly stabilized by 2003. Soil properties important for plant growth generally were poor. The establishment of vegetation dominated by indigenous species was similar when adding only fertilizer as compared to also adding plant materials. Although total live vascular cover was similar among fertilized, tundra-plug transplant, and indigenous graminoid seed treatments (26.1-38.3%), species richness was highest for the indigenous graminoid seed and tundra-plug transplant treatments. The results from this study will drive decisions about planting and fertilization schemes for future North Slope rehabilitation projects.</t>
  </si>
  <si>
    <t>ABR Inc, Environm Res &amp; Serv, Fairbanks, AK 99708 USA; BP Explorat Alaska Inc, Anchorage, AK 99519 USA</t>
  </si>
  <si>
    <t>BP</t>
  </si>
  <si>
    <t>Kidd, JG (corresponding author), ABR Inc, Environm Res &amp; Serv, POB 80410, Fairbanks, AK 99708 USA.</t>
  </si>
  <si>
    <t>jkidd@abrinc.com; streevbj@bp.com; tjorgenson@abrinc.com</t>
  </si>
  <si>
    <t>10.1657/1523-0430(2006)38[384:SCAPCD]2.0.CO;2</t>
  </si>
  <si>
    <t>WOS:000240449600010</t>
  </si>
  <si>
    <t>Lacoul, P; Freedman, B</t>
  </si>
  <si>
    <t>Lacoul, P.; Freedman, B.</t>
  </si>
  <si>
    <t>Recent observation of a proliferation of Ranunculus trichophyllus Chaix. in high-altitude lakes of the Mount Everest Region</t>
  </si>
  <si>
    <t>TEMPERATURE TRENDS; BRYOPHYTES; RESPONSES; ECOLOGY</t>
  </si>
  <si>
    <t>Large populations of the threadleaf water-crowfoot, Ranunculus trichophyllus, were discovered in several high-altitude lakes in the Himalayas of Nepal in which the species did not occur as recently as 1987. One of the study lakes, at 4760 m, is the highest altitude from which an aquatic angiosperm has been reported. A canonical discriminant analysis suggests that the key environmental factors differing between vegetated and non-vegetated lakes among a chain of five interconnected water bodies are length of the ice-free season, conductivity, non-volatile suspended solids, and bicarbonate. We believe, however, that an increased length of the ice-free season is likely the controlling factor in the recent invasion by Ranunculus trichophyllus. Its range expansion is likely a signal of a warming alpine climate in our study area.</t>
  </si>
  <si>
    <t>Dalhousie Univ, Dept Biol, Halifax, NS B3H 4J1, Canada</t>
  </si>
  <si>
    <t>Dalhousie University</t>
  </si>
  <si>
    <t>Lacoul, P (corresponding author), Dalhousie Univ, Dept Biol, Halifax, NS B3H 4J1, Canada.</t>
  </si>
  <si>
    <t>placoul@dal.ca; bill.freedman@dal.ca</t>
  </si>
  <si>
    <t>10.1657/1523-0430(2006)38[394:ROOAPO]2.0.CO;2</t>
  </si>
  <si>
    <t>WOS:000240449600011</t>
  </si>
  <si>
    <t>Lillquist, K; Walker, K</t>
  </si>
  <si>
    <t>Lillquist, Karl; Walker, Karen</t>
  </si>
  <si>
    <t>Historical glacier and ornate fluctuations at Mount Hood, Oregon</t>
  </si>
  <si>
    <t>NORTH CASCADE GLACIERS; TERMINUS FLUCTUATIONS; GEOPOTENTIAL HEIGHT; DECADAL VARIABILITY; MASS-BALANCE; WASHINGTON; USA; CLIMATE; DEBRIS; ALASKA</t>
  </si>
  <si>
    <t>Terminus fluctuations of five glaciers and the correspondence of these fluctuations to temperature and precipitation patterns were assessed at Oregon's Mount Hood over the period 1901-2001. Historical photographs, descriptions, and climate data, combined with contemporary GPS measurements and GIS analysis, revealed that each glacier experienced overall retreat, ranging from -62 m at the Newton Clark Glacier to -1102 m at the Ladd Glacier. Within this overall trend, Mount Hood's glaciers experienced two periods each of retreat and advance. Glaciers retreated between 1901 and 1946 in response to rising temperatures and declining precipitation. A mid-century cool, wet period led to glacier advances. Glaciers retreated from the late 1970s to the mid-1990s as a result of rising temperatures and generally declining precipitation. High precipitation in the late 1990s caused slight advances in 2000 and 2001. The general correspondence of Mount Hood's glacier terminus fluctuations with glaciers in Washington and Oregon suggests that regional, decadal-scale weather and climate events, driven by the Pacific Decadal Oscillation, play a key role in shaping atmosphere-cryosphere interactions in Pacific Northwest mountains. Deviations from the general glacier fluctuation pattern may arise from local differences in glacier aspect, altitude, size, and steepness as well as volcanic and geothermal activity, topography, and debris cover.</t>
  </si>
  <si>
    <t>Cent Washington Univ, Geog &amp; Land Studies Dept, Ellensburg, WA 98926 USA</t>
  </si>
  <si>
    <t>Central Washington University</t>
  </si>
  <si>
    <t>Lillquist, K (corresponding author), Cent Washington Univ, Geog &amp; Land Studies Dept, Ellensburg, WA 98926 USA.</t>
  </si>
  <si>
    <t>lillquis@cwu.edu</t>
  </si>
  <si>
    <t>10.1657/1523-0430(2006)38[399:HGACFA]2.0.CO;2</t>
  </si>
  <si>
    <t>WOS:000240449600012</t>
  </si>
  <si>
    <t>Mårell, A; Edenius, L</t>
  </si>
  <si>
    <t>Marell, Anders; Edenius, Lars</t>
  </si>
  <si>
    <t>Spatial heterogeneity and hierarchical feeding habitat selection by reindeer</t>
  </si>
  <si>
    <t>CARIBOU RANGIFER-TARANDUS; WOODLAND CARIBOU; PLANT PHENOLOGY; BEHAVIORAL DECISIONS; SEASONAL MOVEMENT; FORAGE QUALITY; GROWTH FORM; SNOWMELT; TUNDRA; QUANTITY</t>
  </si>
  <si>
    <t>Reindeer, Rangifer tarandus, live in subarctic and alpine environments with spatially and temporally heterogeneous resource distribution. In this study, we used a hierarchical approach to test whether reindeer responded to spatial heterogeneity during the plant growing season (divided into three distinct periods) in a mountainous subarctic environment in northern Sweden. A reindeer herd in northern Sweden was surveyed using radio-telemetry (8 female reindeer) and the selection of feeding habitats by observing individuals/groups (135 observations) using laser range-finding binoculars. Reindeer selected feeding areas (evaluated at 5-km grid size), as well as feeding habitats (evaluated at 0.5- and 1-km grid size) during spring, in response to high terrain ruggedness and habitat heterogeneity. Reindeer switched during summer to select against terrain ruggedness and habitat heterogeneity at the level of feeding habitats, while preferring southward facing habitats. During autumn, a broader spectrum of feeding habitats was used. We conclude that reindeer seem to adopt a hierarchical strategy in agreement with general foraging theory, and are capable of responding to seasonal changes in resource distribution occurring across spatial scales. Furthermore, our results support the idea that spatial heterogeneity is an important factor to large-sized herbivores at high and intermediate levels of habitat selection. Conservation of large continuous and undeveloped landscapes is an important management goal, as they provide a wide range of habitats necessary for animals such as reindeer that use large territories.</t>
  </si>
  <si>
    <t>Climate Impacts Res Ctr, SE-98107 Abisko, Sweden; Swedish Univ Agr Sci, Dept Anim Ecol, SE-90183 Umea, Sweden</t>
  </si>
  <si>
    <t>Swedish University of Agricultural Sciences</t>
  </si>
  <si>
    <t>Mårell, A (corresponding author), Climate Impacts Res Ctr, SE-98107 Abisko, Sweden.</t>
  </si>
  <si>
    <t>Anders.Marell@inra.avignon.fr</t>
  </si>
  <si>
    <t>Mårell, Anders/B-5521-2008</t>
  </si>
  <si>
    <t>Mårell, Anders/0000-0002-3328-4834</t>
  </si>
  <si>
    <t>10.1657/1523-0430(2006)38[413:SHAHFH]2.0.CO;2</t>
  </si>
  <si>
    <t>WOS:000240449600013</t>
  </si>
  <si>
    <t>Raffl, C; Mallaun, M; Mayer, R; Erschbamer, B</t>
  </si>
  <si>
    <t>Raffl, C.; Mallaun, M.; Mayer, R.; Erschbamer, B.</t>
  </si>
  <si>
    <t>Vegetation succession pattern and diversity changes in a glacier valley, Central Alps, Austria</t>
  </si>
  <si>
    <t>ALPINE VEGETATION; SOIL MICROFLORA; PLANT; FORELANDS; GROWTH; GRADIENTS; RANGE</t>
  </si>
  <si>
    <t>The aim of this study was to assess the influence of comparable unequal environmental conditions on primary vegetation succession in an alpine glacier valley by the means of transects. Two longitudinal transects were established along the glacier foreland of the Rotmoosferner, Tyrol, Austria, and two transverse transects were established across the valley on the 1923 and 1858 moraines. The progressions of alpha- and beta-diversity were compared, and vegetation data within the glacier foreland were analyzed. Moraine age emerged as the primary factor within a canonical correspondence analysis (CCA), while the second axis separated the two valley sides. A clearly differentiated development of plant communities became obvious especially within the early development stages. Early development of vegetation cover and alpha diversity was further developed on the shaded valley side, and progression of beta diversity differed significantly among the valley sides. The results indicate two different successional pathways, on both the qualitative and the quantitative level. These can be attributed to differences in the extent of solar irradiation (sunny vs. shaded side), lithology, geomorphic processes, and a multitude of other factors, reinforcing the dissimilarity between the valley sides. Our approach highlights the necessity of a deliberate sampling design within different glacier forelands sensitive to environmental conditions created by the topography that may impact comparisons among the forelands.</t>
  </si>
  <si>
    <t>Univ Innsbruck, Inst Bot, A-6020 Innsbruck, Austria</t>
  </si>
  <si>
    <t>University of Innsbruck</t>
  </si>
  <si>
    <t>Raffl, C (corresponding author), Univ Innsbruck, Inst Bot, Sternwartestr 15, A-6020 Innsbruck, Austria.</t>
  </si>
  <si>
    <t>corinna.e.raffl@uibk.ac.at</t>
  </si>
  <si>
    <t>10.1657/1523-0430(2006)38[421:VSPADC]2.0.CO;2</t>
  </si>
  <si>
    <t>WOS:000240449600014</t>
  </si>
  <si>
    <t>Sanecki, GM; Green, K; Wood, H; Lindenmayer, D</t>
  </si>
  <si>
    <t>Sanecki, Glenn M.; Green, Ken; Wood, Helen; Lindenmayer, David</t>
  </si>
  <si>
    <t>The characteristics and classification of Australian snow cover: an ecological perspective</t>
  </si>
  <si>
    <t>BROAD-TOOTHED RAT; MASTACOMYS-FUSCUS; CLIMATE; SYSTEM</t>
  </si>
  <si>
    <t>We provide a description of the structural and thermal characteristics of snow cover in the Snowy Mountains of southeast Australia. Using the snow classification system developed by Sturm et al. (1995), the snow cover in the Snowy Mountains is classified primarily as maritime in areas where there is sufficient accumulation, and as ephemeral at lower elevations and on ablating aspects. Maritime snow is generally deep (&gt; 100 cm), with a density &gt; 0.30 g cm(-3). The snow-ground interface is maintained within VC of freezing and relatively high air temperatures promote equitemperature metamorphism throughout the winter. The formation of depth hoar (temperature gradient snow), which is considered to be important in facilitating the development of the subnivean space, does not occur under these conditions. Ephemeral snow is characterized by warm shallow snow that often melts before new snow is deposited. Basal melt is a common feature of snow cover in the Snowy Mountains throughout most of the winter. We reappraise the processes responsible for the formation of the subnivean space under Australian snow conditions and discuss the importance of these processes for understanding the ecology of fauna in the subnivean space. Our findings highlight the value of an explicit description of snow conditions to ecological research in snow-covered areas. As a minimum, researchers should provide a description of basic structural and thermal properties of the snow pack that would allow other researchers to view the work in an appropriate context.</t>
  </si>
  <si>
    <t>Australian Natl Univ, Ctr Resource &amp; Environm Studies, Canberra, ACT 0200, Australia; Snowy Mt Reg, Dept Environm &amp; Conservat, Jindabyne, NSW 2627, Australia; Charles Sturt Univ, Sch Sci &amp; Technol, Wagga Wagga, NSW 2650, Australia</t>
  </si>
  <si>
    <t>Australian National University; Charles Sturt University</t>
  </si>
  <si>
    <t>Sanecki, GM (corresponding author), Australian Natl Univ, Ctr Resource &amp; Environm Studies, Canberra, ACT 0200, Australia.</t>
  </si>
  <si>
    <t>gsanecki@cres.anu.edu.au; kenneth.green@environment.nsw.gov.au; hwood@csu.edu.au; davidl@cres.anu.edu.au</t>
  </si>
  <si>
    <t>Lindenmayer, David/P-7183-2017</t>
  </si>
  <si>
    <t>10.1657/1523-0430(2006)38[429:TCACOA]2.0.CO;2</t>
  </si>
  <si>
    <t>WOS:000240449600015</t>
  </si>
  <si>
    <t>Sun, Q; Chu, GQ; Liu, JQ; Gao, DY</t>
  </si>
  <si>
    <t>Sun, Qing; Chu, Guoqiang; Liu, Jiaqi; Gao, Denyi</t>
  </si>
  <si>
    <t>A 150-year record of heavy metals in the varved sediments of Lake Bolterskardet, Svalbarl</t>
  </si>
  <si>
    <t>RECENT ENVIRONMENTAL-CHANGE; PROGLACIAL BEAR LAKE; DEVON ISLAND; TEMPORAL TRENDS; ATMOSPHERIC CONTAMINATION; ANTHROPOGENIC SULFATE; ELLESMERE-ISLAND; JURA MOUNTAINS; BAFFIN-ISLAND; ARCTIC LAKE</t>
  </si>
  <si>
    <t>Laminated sediments from Bolterskardet Lake on Svalbard provide a new 150-year record of heavy metals in the Arctic. Independent data of (CS)-C-137 and Pb-210 indicate that these laminations are annually deposited varves. The high sedimentation rate and varved sediments make Lake Bolterskardet a good site for studying history of heavy metal pollution in the region. A suite of heavy metals (Pb, As, Cd, Cu, Cr, Co, Ni, and Sn) were studied. The variations of Cu, Cr, Co, and Ni concentrations show an inverse pattern with the median grain size. It suggests that the particle size has a significant role in the accumulation and enrichment of heavy metals in the sediments. In the concentration profiles of studied heavy metals, only Pb concentrations show a significant increase from the lower parts to the upper parts of the core. Profiles of total, lithogenic, and anthropogenic Pb flux also show an increasing pattern. Anthropogenic Ph flux varies between 0.1 mu g cm(-2) yr(-1) and 12.3 mu g cm(-2) yr(-1), with a mean value of 2.4 mu g cm(-2) yr(-1). The anthropogenic Pb fluxes were relatively low at around 0.7 mu g cm(-2) yr(-1) prior to 1945, slowly increased after 1945, and reached a sidestep (between 1940s and 1970s) with mean value of 1.8 mu g cm(-2) yr(-1). Second high value period was between 1980s and 1990s with mean value of 5.9 mu g cm(-2) yr(-1). The variation of anthropogenic Pb fluxes before 1970 in Bolterskardet Lake coincides with the sulfate record and Pb concentration data from Greenland snow and ice, and the acidity concentration in the Svalbard ice cores. However, the anthropogenic Pb fluxes during the last two decades show a rapidly increasing trend. This regional pattern may suggest that local source is an important factor for heavy metal contamination in Svalbard, and the complex of long-range transport contaminations for regional and global process.</t>
  </si>
  <si>
    <t>Natl Res Ctr Geoanal, Beijing 100037, Peoples R China; Chinese Acad Sci, Inst Geol &amp; Geophys, Beijing 100029, Peoples R China; Chinese Acad Sci, Inst Atmospher Phys, Beijing 100029, Peoples R China</t>
  </si>
  <si>
    <t>Chinese Academy of Sciences; Institute of Geology &amp; Geophysics, CAS; Chinese Academy of Sciences; Institute of Atmospheric Physics, CAS</t>
  </si>
  <si>
    <t>Chu, GQ (corresponding author), Natl Res Ctr Geoanal, Beijing 100037, Peoples R China.</t>
  </si>
  <si>
    <t>chuguoqiang@mail.igcas.ac.cn</t>
  </si>
  <si>
    <t>10.1657/1523-0430(2006)38[436:AYROHM]2.0.CO;2</t>
  </si>
  <si>
    <t>WOS:000240449600016</t>
  </si>
  <si>
    <t>Tang, Y; Xie, HS</t>
  </si>
  <si>
    <t>Tang, Ya; Xie, Ha-sui</t>
  </si>
  <si>
    <t>A pollination ecology study of Pedicularis linnaeus (Orobanchaceae) in a subalpine to alpine area of Northwest Sichuan, China</t>
  </si>
  <si>
    <t>SCROPHULARIACEAE; ADAPTATION; BUMBLEBEES</t>
  </si>
  <si>
    <t>Pollination ecology and habitat preference of Pedicularis species were studied in a transitional zone between subalpine coniferous forests and alpine meadows in northwestern Sichuan of China. Pedicularis species exhibited apparent preferences for different microhabitats. Species with long rostrate and contorted galea were nectarless and their mean corolla tube length ranged from 7 to 50 mm while species without long rostrate and contorted galea produced nectar and their corolla tube length averaged from 8 to 18 mm. Bumblebees were the sole pollinators of the studied species and five bee species pollinated seven Pedicularis species with one species pollinating all the Pedicularis species. Pollinators that visited nectariferous species had longer tongues than those that visited nectarless species and they spent longer time on nectariferous than on nectarless species. All Pedicularis species except for P. rex subsp. lipskyana were pollinated by worker bees. Pedicularis rex subsp. lipskyana was pollinated nototribically by worker, male and queen bumblebees through stigmatic contact with residual pollen on the left side of the bee's head. Morphology of pollinators, rather than pollinator species, may play the key role in diversification of Pedicularis. Microhabitats rather than pollination may be the separation barrier in propagation. Factors contributing to high diversity of Pedicularis need further study.</t>
  </si>
  <si>
    <t>Sichuan Univ, Dept Environm Sci, Chengdu 610065, Sichuan, Peoples R China</t>
  </si>
  <si>
    <t>Sichuan University</t>
  </si>
  <si>
    <t>Tang, Y (corresponding author), Sichuan Univ, Dept Environm Sci, 25,S Sect 1,1st Ring Rd, Chengdu 610065, Sichuan, Peoples R China.</t>
  </si>
  <si>
    <t>tangya999@gmail.cn</t>
  </si>
  <si>
    <t>10.1657/1523-0430(2006)38[446:APESOP]2.0.CO;2</t>
  </si>
  <si>
    <t>WOS:000240449600017</t>
  </si>
  <si>
    <t>Ward, C; Dowdeswell, JA</t>
  </si>
  <si>
    <t>Ward, Catharine; Dowdeswell, Julian A.</t>
  </si>
  <si>
    <t>On the meteorological instruments and observations made during the 19th century exploration of the Canadian Northwest passage</t>
  </si>
  <si>
    <t>Meteorological records from about 30 British Navy ships that overwintered in the Canadian Arctic islands between 1818 and 1859 are the earliest detailed baseline of direct historical data in this region against which modem and future climate trends can be assessed. We describe the types of meteorological instruments and the observational methods employed aboard these ships. For measuring air temperatures, both mercurial and spirit thermometers were used. Observations of atmospheric pressure were made using marine and aneroid barometers. Wind direction and speed were also logged. The Royal Navy's ordered and disciplined daily regime was well-suited to regular scientific observations. Individual instruments on most Navy ships were calibrated against established Royal Observatory standards before and after expeditions. Many recording officers commented on the relative unreliability of spirit thermometers below the freezing point of mercury. Little contemporary written evidence exists regarding absolute accuracy or precision of meteorological instruments taken to the Arctic, but some calibration data are available to assess typical instrument errors between 32 degrees and -38 degrees F (0 degrees and -39 degrees C). Our comparison of minimum daily temperatures from four overwintering ships in 1853 and 1854 shows very high correlation coefficients. The mutual consistency of these records implies good instrumental precision. Although the absolute accuracy of temperatures recorded below the freezing point of mercury is in doubt, those above this point are relatively accurate. Guidance on the preferred methods of observing and recording were codified in, for example, the Admiralty's Manual of Scientific Enquiry (Herschel, 1851). Meteorological registers were regarded as official documents that were, as far as possible, required to be complete and no attempt was to be made to fill in missing data. The need to screen or cover instruments from both solar and terrestrial radiation was also recognized from the earliest expeditions. It was not until the 1850s that standardizing the exposure of thermometers was resolved through the introduction of louvered screens. This unique set of ships' meteorological registers presents opportunities to investigate a variety of meteorological parameters for the Canadian High Arctic in the 19th century, allowing quantitative assessment of change relative to contemporary climate.</t>
  </si>
  <si>
    <t>Univ Cambridge, Scott Polar Res Inst, Cambridge CB2 1ER, England</t>
  </si>
  <si>
    <t>University of Cambridge</t>
  </si>
  <si>
    <t>Ward, C (corresponding author), Univ Cambridge, Scott Polar Res Inst, Cambridge CB2 1ER, England.</t>
  </si>
  <si>
    <t>catharine@oceanclimate.co.uk</t>
  </si>
  <si>
    <t>Dowdeswell, Julian/0000-0003-1369-9482; Ward, Catharine/0000-0003-3311-8673</t>
  </si>
  <si>
    <t>10.1657/1523-0430(2006)38[454:OTMIAO]2.0.CO;2</t>
  </si>
  <si>
    <t>WOS:000240449600018</t>
  </si>
  <si>
    <t>Wolfe, AP; Cooke, CA; Hobbs, WO</t>
  </si>
  <si>
    <t>Wolfe, Alexander P.; Cooke, Colin A.; Hobbs, William O.</t>
  </si>
  <si>
    <t>Are current rates of atmospheric nitrogen deposition influencing lakes in the Eastern Canadian Arctic?</t>
  </si>
  <si>
    <t>RECENT ENVIRONMENTAL-CHANGES; ICE-CORE RECORD; ORGANIC-MATTER; BAFFIN-ISLAND; ALPINE LAKES; ANTHROPOGENIC SULFATE; SOUTHERN GREENLAND; N-15/N-14 RATIOS; DIATOM RESPONSE; CLIMATIC-CHANGE</t>
  </si>
  <si>
    <t>Although arctic lakes rank among the most pristine ecosystems remaining on Earth, widespread paleoecological analyses have revealed rapid recent changes in lake ecology that largely surpass Holocene natural variability and that are generally attributed to climate warming since the end of the Little Ice Age. However, the possibility that climate is only one dimension of these unprecedented ecological shifts remains an untested possibility, especially given that current warming may not yet exceed maximum, naturally mediated, postgJacial warmth. In this paper, we assess whether increased anthropogenic nitrogen (N) deposition from distant sources is contributing to directional changes in the biogeochemistry and ecology of two remote lakes on Baffin Island in the eastern Canadian Arctic. Paleolimnological analyses, including diatom assemblages and a suite of biogeochemical proxies (total organic matter, biogenic silica, Organic N and C contents, and stable isotopic ratios) reveal a complex suite of progressive changes that are coherently expressed in both lakes. Diatom assemblages began to change as early as the mid-19th century, but major inflections in the biogeochemical proxies occurred significantly later, being most pronounced after 1950. Among these changes are increases in sediment organic matter, depletions of 2 parts per thousand in sediment delta N-15, and decoupling of delta C-13 and delta N-15 signatures. It seems likely that climate warming, subsequently coupled to anthropogenic N deposition, is synergistically driving these ecosystems towards states for which no prior natural analogs exist.</t>
  </si>
  <si>
    <t>Univ Alberta, Dept Earth &amp; Atmospher Sci, Edmonton, AB T6G 2E3, Canada</t>
  </si>
  <si>
    <t>University of Alberta</t>
  </si>
  <si>
    <t>Wolfe, AP (corresponding author), Univ Alberta, Dept Earth &amp; Atmospher Sci, Edmonton, AB T6G 2E3, Canada.</t>
  </si>
  <si>
    <t>awolfe@ualberta.ca</t>
  </si>
  <si>
    <t>Wolfe, Alexander P/G-6867-2011; Cooke, Colin/D-2726-2009; Cooke, Colin A/E-7842-2011; Hobbs, William/P-1110-2016</t>
  </si>
  <si>
    <t>Hobbs, William/0000-0001-7321-0779; Cooke, Colin/0000-0002-7417-5263</t>
  </si>
  <si>
    <t>10.1657/1523-0430(2006)38[465:ACROAN]2.0.CO;2</t>
  </si>
  <si>
    <t>WOS:000240449600019</t>
  </si>
  <si>
    <t>Hansen, ES; Dawes, PR; Thomassen, B</t>
  </si>
  <si>
    <t>Hansen, Eric Steen; Dawes, Peter Robert; Thomassen, Bjorn</t>
  </si>
  <si>
    <t>Epilithic lichen communities in high Arctic greenland:: Physical, environmental, and geological aspects of their ecology in Inglefield Land (78°-79°N) (vol 38, pg 72, 2006)</t>
  </si>
  <si>
    <t>Correction</t>
  </si>
  <si>
    <t>Hansen, Eric/JEF-6566-2023</t>
  </si>
  <si>
    <t>WOS:000240449600020</t>
  </si>
  <si>
    <t>Osán, J; Török, S; Beckhoff, B; Ulm, G; Hwang, H; Ro, CU; Abete, C; Fuoco, R</t>
  </si>
  <si>
    <t>Osan, J.; Torok, S.; Beckhoff, B.; Ulm, G.; Hwang, H.; Ro, C. -U.; Abete, C.; Fuoco, R.</t>
  </si>
  <si>
    <t>Nitrogen and sulfur compounds in coastal Antarctic fine aerosol particles -: an insight using non-destructive X-ray microanalytical methods</t>
  </si>
  <si>
    <t>ATMOSPHERIC ENVIRONMENT</t>
  </si>
  <si>
    <t>Antarctica; aerosols; non-destructive X-ray methods; TXRF; NEXAFS; low-Z EPMA</t>
  </si>
  <si>
    <t>ELECTRON-PROBE MICROANALYSIS; LOW Z-ELEMENTS; WAFER SURFACES; CHEMISTRY; NITRATE</t>
  </si>
  <si>
    <t>The capabilities of X-ray microanalytical methods, such as a near edge X-ray absorption fine structure (NEXAFS) investigation in conjunction with total reflection X-ray fluorescence (TXRF) analysis, as well as low-Z particle electron probe X-ray microanalysis (EPMA) to characterize fine Antarctic aerosol samples are demonstrated. Both techniques provided information on low-Z elements such as C, N and O. Size-segregated fine aerosol samples were collected at the Italian base at Terra Nova Bay (Antarctica) in February 2004. For comparative purposes, aerosol samples were also collected near the sea-shore in Alghero (Sardinia, Italy), in June 2004. The TXRF-NEXAFS measurements were carried out at the PGM monochromator beamline for undulator radiation in the PTB laboratory at the electron storage ring BESSY II. It was possible to quantify the molar ratio of ammonium and nitrate based on linear combinations of standard reference spectra of (NH4)(2)SO4 and NaNO3-Using TXRF-NEXAFS, the ammonium-to-nitrate ratio was determined in Antarctic fine aerosols collected from less than 2 m(3) of air, i.e. considerably lower than the sampling volumes usually used for ion chromatography analyses (30 M). This reduced sampling volume can enable the characterization of Antarctic aerosols to be done in higher temporal resolution. For Antarctic fine aerosols in the size range of 0.25-0.5 mu m, nitrogen was observed to be present as almost entirely ammonium species. When the size of aerosol particles increases in the range of 0.25-2 mu m, the content of ammonium decreases and yet the content of nitrate increases. An aerosol sample collected at Terra Nova Bay was investigated by the use of low-Z particle EPMA at a liquid nitrogen temperature in order to minimize beam damage of nitrogen-rich particles. Single-particle analytical results of 160 individual particles supported the TXRF-NEXAFS's observation that both ammonium-rich and nitrate-rich particles exist in the size range of 1-2 mu m. Some particles were observed to contain both ammonium and nitrate species and yet pure ammonium nitrate particles were not encountered. The stoichiometry of the main chemical component of particles containing nitrogen and sulfur as major elements was found to be NH4HSO4. (c) 2006 Elsevier Ltd. All rights reserved.</t>
  </si>
  <si>
    <t>Hungarian Acad Sci, KFKI Atom Energy Res Inst, H-1525 Budapest, Hungary; Phys Tech Bundesanstalt, D-10587 Berlin, Germany; Inha Univ, Dept Chem, Inchon 402751, South Korea; CNR, ICCOM, I-56126 Pisa, Italy; Univ Pisa, Dipartimento Chim &amp; Chim Ind, I-56126 Pisa, Italy</t>
  </si>
  <si>
    <t>Hungarian Research Network; Hungarian Academy of Sciences; HUN-REN Centre for Energy Research; Physikalisch-Technische Bundesanstalt (PTB); Inha University; Consiglio Nazionale delle Ricerche (CNR); Isituto di Chimica dei Composti Organometallici (ICCOM-CNR); University of Pisa</t>
  </si>
  <si>
    <t>Osán, J (corresponding author), Hungarian Acad Sci, KFKI Atom Energy Res Inst, PO Box 49, H-1525 Budapest, Hungary.</t>
  </si>
  <si>
    <t>osan@sunserv.kfki.hu</t>
  </si>
  <si>
    <t>Ulm, Gerhard/D-4798-2009; Ro, Chul-Un/R-3410-2019</t>
  </si>
  <si>
    <t>Ro, Chul-Un/0000-0001-9357-1854; Osan, Janos/0000-0002-5392-1474</t>
  </si>
  <si>
    <t>PERGAMON-ELSEVIER SCIENCE LTD</t>
  </si>
  <si>
    <t>OXFORD</t>
  </si>
  <si>
    <t>THE BOULEVARD, LANGFORD LANE, KIDLINGTON, OXFORD OX5 1GB, ENGLAND</t>
  </si>
  <si>
    <t>1352-2310</t>
  </si>
  <si>
    <t>1873-2844</t>
  </si>
  <si>
    <t>ATMOS ENVIRON</t>
  </si>
  <si>
    <t>Atmos. Environ.</t>
  </si>
  <si>
    <t>10.1016/j.atmosenv.2006.04.033</t>
  </si>
  <si>
    <t>Environmental Sciences; Meteorology &amp; Atmospheric Sciences</t>
  </si>
  <si>
    <t>Environmental Sciences &amp; Ecology; Meteorology &amp; Atmospheric Sciences</t>
  </si>
  <si>
    <t>074OB</t>
  </si>
  <si>
    <t>WOS:000239820600005</t>
  </si>
  <si>
    <t>Waller, CL; Barnes, DKA; Convey, P</t>
  </si>
  <si>
    <t>Waller, Catherine L.; Barnes, David K. A.; Convey, Peter</t>
  </si>
  <si>
    <t>Ecological contrasts across an Antarctic land-sea interface</t>
  </si>
  <si>
    <t>AUSTRAL ECOLOGY</t>
  </si>
  <si>
    <t>biodiversity; biomass; desiccation; environmental stress; freezing; intertidal; subtidal; terrestrial</t>
  </si>
  <si>
    <t>SOUTHERN-OCEAN ISLANDS; INTERTIDAL COMMUNITIES; PALMER-STATION; BENTHIC DIVERSITY; TROPHIC STRUCTURE; VASCULAR PLANTS; LIFE; GROWTH; ICE; REPRODUCTION</t>
  </si>
  <si>
    <t>We report the composition of terrestrial, intertidal and shallow sublittoral faunal communities at sites around Rothera Research Station, Adelaide Island, Antarctic Peninsula. We examined primary hypotheses that the marine environment will have considerably higher species richness, biomass and abundance than the terrestrial, and that both will be greater than that found in the intertidal. We also compared ages and sizes of individuals of selected marine taxa between intertidal and subtidal zones to test the hypothesis that animals in a more stressed environment (intertidal) would be smaller and shorter lived. Species richness of intertidal and subtidal communities was found to be similar, with considerable overlap in composition. However, terrestrial communities showed no overlap with the intertidal, differing from previous reports, particularly from further north on the Antarctic Peninsula and Scotia Arc. Faunal biomass was variable but highest in the sublittoral. While terrestrial communities were depauperate with low biomass they displayed the highest overall abundance, with a mean of over 3 x 10(5) individuals per square metre. No significant differences in ages of intertidal and subtidal individuals of the same species were found, with bryozoan colonies of up to 4 years of age being present in the intertidal. In contrast with expectation and the limited existing literature we conclude that, while the Antarctic intertidal zone is clearly a suboptimal and highly stressful habitat, its faunal community can be well established and relatively diverse, and is not limited to short-term opportunists or waifs and strays.</t>
  </si>
  <si>
    <t>British Antarctic Survey, Nat Environm Res Ctr, Cambridge CB3 0ET, England</t>
  </si>
  <si>
    <t>UK Research &amp; Innovation (UKRI); Natural Environment Research Council (NERC); NERC British Antarctic Survey</t>
  </si>
  <si>
    <t>Waller, CL (corresponding author), British Antarctic Survey, Nat Environm Res Ctr, High Cross, Cambridge CB3 0ET, England.</t>
  </si>
  <si>
    <t>cathw@bas.ac.uk</t>
  </si>
  <si>
    <t>Convey, Peter/AAV-5728-2020</t>
  </si>
  <si>
    <t>Convey, Peter/0000-0001-8497-9903; Waller, Catherine L/0000-0002-0836-3223</t>
  </si>
  <si>
    <t>Natural Environment Research Council [dml011000, bas010008] Funding Source: researchfish; NERC [dml011000, bas010008] Funding Source: UKRI</t>
  </si>
  <si>
    <t>Natural Environment Research Council(UK Research &amp; Innovation (UKRI)Natural Environment Research Council (NERC)); NERC(UK Research &amp; Innovation (UKRI)Natural Environment Research Council (NERC))</t>
  </si>
  <si>
    <t>1442-9985</t>
  </si>
  <si>
    <t>1442-9993</t>
  </si>
  <si>
    <t>AUSTRAL ECOL</t>
  </si>
  <si>
    <t>Austral Ecol.</t>
  </si>
  <si>
    <t>10.1111/j.1442-9993.2006.01618.x</t>
  </si>
  <si>
    <t>Ecology</t>
  </si>
  <si>
    <t>Environmental Sciences &amp; Ecology</t>
  </si>
  <si>
    <t>064TQ</t>
  </si>
  <si>
    <t>WOS:000239112400013</t>
  </si>
  <si>
    <t>Zhu, RB; Sun, LG; Kong, DM; Geng, JJ; Wang, N; Wang, Q; Wang, XR</t>
  </si>
  <si>
    <t>Zhu, Renbin; Sun, Liguang; Kong, Deming; Geng, Jinju; Wang, Ning; Wang, Qiang; Wang, Xiaorong</t>
  </si>
  <si>
    <t>Matrix-bound phosphine in Antarctic biosphere</t>
  </si>
  <si>
    <t>CHEMOSPHERE</t>
  </si>
  <si>
    <t>matrix-bound phosphine; Antarctica; biosphere; penguin guano; phosphorus</t>
  </si>
  <si>
    <t>NITROUS-OXIDE; PHOSPHORUS; EMISSION; TUNDRA; SIMULATION; SNOWPACK; METHANE; SOILS; LAKE; GAS</t>
  </si>
  <si>
    <t>Phosphine (PH3) is a natural gaseous carrier of phosphorus in its geochemical cycles, and it might be of importance to the phosphorus balance of natural ecosystem. For the first time phosphine levels were investigated in the Earth's coldest, driest, and most southerly Antarctic biosphere. Matrix-bound phosphine (MBP) was found in sea animal guanos, ornithogenic sediments and soils. Phosphine concentrations varied with different sea animal guanos. Average phosphine concentrations in empire penguin, gentoo penguin, sea lion, skua and gull guanos were 2.54 +/- 1.28 ng kg(-1), 6.21 +/- 2.15 ng kg(-1), 9.12 +/- 4.66 ng kg(-1), 11.90 +/- 1.29 ng kg(-1) and 14.55 +/- 6.74 ng kg(-1), respectively. The contents of phosphorus in these various matrixes have an important effect on MBP concentrations. The levels of phosphine appeared an increasing tendency with the content of TP, IP and OP in sea animal guanos, ornithogenic sediments or soils. The correlation between PH3 and Fe, Mn, Al in these matrixes was also analyzed and discussed. Phosphine showed an obviously positive correlation with Fe in sea animal guanos. However, excessively high Fe, Al and Mn may inhibit the formation of PH3 in the ornithogenic soils or sediments in the Antarctic biosphere. (c) 2006 Elsevier Ltd. All rights reserved.</t>
  </si>
  <si>
    <t>Univ Sci &amp; Technol China, Inst Polar Environm, Hefei 230026, Anhui Province, Peoples R China; Nanjing Univ, State Key Lab Pollut Control &amp; Resource Reuse, Nanjing 210093, Peoples R China</t>
  </si>
  <si>
    <t>Chinese Academy of Sciences; University of Science &amp; Technology of China, CAS; Nanjing University</t>
  </si>
  <si>
    <t>Zhu, RB (corresponding author), Univ Sci &amp; Technol China, Inst Polar Environm, Hefei 230026, Anhui Province, Peoples R China.</t>
  </si>
  <si>
    <t>zhurb@ustc.edu.cn</t>
  </si>
  <si>
    <t>Wang, Ning/0000-0002-6450-0421</t>
  </si>
  <si>
    <t>0045-6535</t>
  </si>
  <si>
    <t>1879-1298</t>
  </si>
  <si>
    <t>Chemosphere</t>
  </si>
  <si>
    <t>10.1016/j.chemosphere.2005.12.031</t>
  </si>
  <si>
    <t>Environmental Sciences</t>
  </si>
  <si>
    <t>085CO</t>
  </si>
  <si>
    <t>WOS:000240581000021</t>
  </si>
  <si>
    <t>Case, HS; Reed, HL; Palinkas, LA; Reedy, KR; Do, NV; Finney, NS; Seip, R</t>
  </si>
  <si>
    <t>Case, H. Samuel; Reed, H. Lester; Palinkas, Lawrence A.; Reedy, Kathleen R.; Do, Nhan Van; Finney, Nancy S.; Seip, Richard</t>
  </si>
  <si>
    <t>Resting and exercise energy use in Antarctica: effect of 50% restriction in temperate climate energy requirements</t>
  </si>
  <si>
    <t>CLINICAL ENDOCRINOLOGY</t>
  </si>
  <si>
    <t>THYROID-HORMONE CONCENTRATIONS; PREDICTING BODY DENSITY; WEIGHT-LOSS; CALORIC RESTRICTION; GENERALIZED EQUATIONS; DIETARY-COMPOSITION; COLD ADAPTATION; METABOLIC-RATE; OBESE WOMEN; SERUM</t>
  </si>
  <si>
    <t>Objective To determine the impact of energy restriction (ER) upon the previously reported increased resting and exercise-related oxygen utilization, reduced body temperature, increased serum TSH, and reduced serum free T3 concentrations found during Antarctic residence (AR). Design Prospective, intervention with both paired controls and a similar reference control group (RG). Patients and measurements Seven subjects were assessed before and after a 50% ER period of 60 h. This ER was carried out within 30 days of arriving in Antarctica in October (OCT) and again after 10 months AR in August (AUG). During the periods of ER, mean energy consumption was 5662 +/- 1344 kJ/day in OCT and 5529 +/- 967 kJ/day in AUG. Resting metabolic rate (RMR), a calculated resting metabolic rate (RMRreg) using a submaximal work regression, serum TSH, FT3 and tympanic temperature (Tty) were measured. These values were compared with a similar RG of 12 subjects reported previously who were studied in California, USA before and then again during AR. Results Weight declined by 1.1 +/- 0.1 kg/day (OCT) and 0.92 +/- 0.2 kg/day (AUG) with ER, resulting in a reduction of body weight by 3.1 +/- 0.4% in OCT (P = 0.0001) and 2.5 +/- 0.4% in AUG (P = 0.0015) during AR. The RMR before ER did not change with AR and it was not significantly different from the RG studied in California. With ER the RMR tended to decline in both OCT (132 +/- 5 to 122 +/- 4 mlO(2)/min/m(2)) and AUG (134 +/- 5 to 126 +/- 5 mlO(2)/min/m(2)), but these were not significant. By contrast, RMRreg obtained before ER was increased with AR by 22.5 +/- 7.8% (P = 0.01) in OCT and by 28.1 +/- 7.0% (P = 0.0008) in AUG over the RG values obtained in California. RMRreg did not decrease with ER in either OCT or AUG. The total energy expenditure derived from these measures of weight loss suggests that 24-h energy requirements are 74.4% [95% confidence interval (CI) 2.6-146.3; P &lt; 0.05] more than those expected in temperate climates. Tty declined by 0.6 +/- 0.2 degrees C (P &lt; 0.01) with AR compared with the RG measured in California, but was not affected by either period of ER. ER had no effect on FT3 but tended to decrease serum TSH in AUG (P = 0.06). Conclusions Exercise-related energy requirements are increased with AR. Moderate ER may reduce resting but not exercise-related energy expenditure and it is associated with a weight loss exceeding expectations for 50% restriction of temperate climate energy predictions.</t>
  </si>
  <si>
    <t>McDaniel Coll, Dept Exercise Sci &amp; Phys Educ, Westminster, MD USA; MultiCare Hlth Syst, Tacoma, WA USA; Univ So Calif, Sch Social Work, Los Angeles, CA 90089 USA; US FDA, Rockville, MD 20857 USA; Madigan Army Med Ctr, Dept Clin Invest, Tacoma, WA 98431 USA; Hartford Hosp, Hartford, CT 06115 USA</t>
  </si>
  <si>
    <t>University of Southern California; US Food &amp; Drug Administration (FDA); Madigan Army Medical Center; Hartford Hospital</t>
  </si>
  <si>
    <t>Case, HS (corresponding author), 1201 Pinch Valley Rd, Westminster, MD 21158 USA.</t>
  </si>
  <si>
    <t>scase@mcdaniel.edu</t>
  </si>
  <si>
    <t>Do, Nhan/0000-0001-6868-7011</t>
  </si>
  <si>
    <t>0300-0664</t>
  </si>
  <si>
    <t>1365-2265</t>
  </si>
  <si>
    <t>CLIN ENDOCRINOL</t>
  </si>
  <si>
    <t>Clin. Endocrinol.</t>
  </si>
  <si>
    <t>10.1111/j.1365-2265.2006.02588.x</t>
  </si>
  <si>
    <t>Endocrinology &amp; Metabolism</t>
  </si>
  <si>
    <t>064RW</t>
  </si>
  <si>
    <t>Bronze</t>
  </si>
  <si>
    <t>WOS:000239107800020</t>
  </si>
  <si>
    <t>Santovito, G; Cassini, A; Piccinni, E</t>
  </si>
  <si>
    <t>Santovito, Gianfranco; Cassini, Arnaldo; Piccinni, Ester</t>
  </si>
  <si>
    <t>Cu,Zn superoxide dismutase from Trematomus bernacchii:: Functional conservation and erratic molecular evolution in Antarctic teleosts</t>
  </si>
  <si>
    <t>COMPARATIVE BIOCHEMISTRY AND PHYSIOLOGY C-TOXICOLOGY &amp; PHARMACOLOGY</t>
  </si>
  <si>
    <t>Antarctica; cDNA; molecular evolution; molecular properties; protein purification; superoxide dismutase; teleosts; Trematomus bernacchii</t>
  </si>
  <si>
    <t>POLYACRYLAMIDE GELS; ESCHERICHIA-COLI; ACTIVE-SITE; COPPER; EXPRESSION; SEQUENCE; GENE; CDNA; SOD; ELECTROPHORESIS</t>
  </si>
  <si>
    <t>In the present study, we describe the purification and molecular characterization of Cu,Zn superoxide dismutase (SOD) from Trematomus bernacchii, a teleost widely distributed in many areas of Antarctica, that plays a pivotal role in the Antarctic food chain. The amino acid and cDNA sequences have been obtained using both biochemical and molecular biology approaches and are compared with Cu,Zn SODs from other fishes. Assessment of the primary sequences highlights that the catalytically important residues are fully conserved in Cu,Zn SOD from T bernacchii. Phylogenetic analyses performed on Cu,Zn SOD amino acid sequences permit speculation regarding the evolution of this protein. In particular, the data confirms the erratic differentiation of these proteins and concurs with the theory of the unclock-like behaviour of Cu,Zn SOD evolution. (c) 2006 Elsevier Inc. All rights reserved.</t>
  </si>
  <si>
    <t>Univ Padua, Dept Biol, I-35131 Padua, Italy</t>
  </si>
  <si>
    <t>University of Padua</t>
  </si>
  <si>
    <t>Santovito, G (corresponding author), Univ Padua, Dept Biol, Via U Bassi 58-B, I-35131 Padua, Italy.</t>
  </si>
  <si>
    <t>gianfranco.santovito@unipd.it</t>
  </si>
  <si>
    <t>Santovito, Gianfranco/ABB-9484-2021</t>
  </si>
  <si>
    <t>Santovito, Gianfranco/0000-0001-8260-7006</t>
  </si>
  <si>
    <t>ELSEVIER SCIENCE INC</t>
  </si>
  <si>
    <t>NEW YORK</t>
  </si>
  <si>
    <t>360 PARK AVE SOUTH, NEW YORK, NY 10010-1710 USA</t>
  </si>
  <si>
    <t>1532-0456</t>
  </si>
  <si>
    <t>COMP BIOCHEM PHYS C</t>
  </si>
  <si>
    <t>Comp. Biochem. Physiol. C-Toxicol. Pharmacol.</t>
  </si>
  <si>
    <t>10.1016/j.cbpc.2006.04.007</t>
  </si>
  <si>
    <t>Biochemistry &amp; Molecular Biology; Endocrinology &amp; Metabolism; Toxicology; Zoology</t>
  </si>
  <si>
    <t>072MM</t>
  </si>
  <si>
    <t>WOS:000239677500011</t>
  </si>
  <si>
    <t>Mataloni, G; Tell, G</t>
  </si>
  <si>
    <t>Mataloni, Gabriela; Tell, Guillermo</t>
  </si>
  <si>
    <t>On the identity and geographical distribution of Ammatoidea normanii W. et G.S.!West (Oscillatoriales, Cyanoprokaryota)</t>
  </si>
  <si>
    <t>CRYPTOGAMIE ALGOLOGIE</t>
  </si>
  <si>
    <t>cyanoprokaryota; Ammatoidea; distribution geographique; ecologie</t>
  </si>
  <si>
    <t>CIERVA POINT; ALGAL COMMUNITIES</t>
  </si>
  <si>
    <t>The filamentous cyanoprokaryote Ammatoidea normanii W. et G.S. West is a rather uncommon species, recorded from a small number of distant locations around the temperate and cold areas of the world, and only once from Antarctica. This paper contributes to our knowledge of this species through a new Antarctic record, accompanied with morphological observations and a complete description of the environment in which it was found. On this basis, the identity of former probable records from Antarctica and throughout the world is discussed.</t>
  </si>
  <si>
    <t>Univ Buenos Aires, Fac Ciencias Exactas &amp; Nat, Dept Ecol Genet &amp; Evoluc, RA-1428 Buenos Aires, DF, Argentina</t>
  </si>
  <si>
    <t>University of Buenos Aires</t>
  </si>
  <si>
    <t>Mataloni, G (corresponding author), Univ Buenos Aires, Fac Ciencias Exactas &amp; Nat, Dept Ecol Genet &amp; Evoluc, Pab 2 Ciudad Univ, RA-1428 Buenos Aires, DF, Argentina.</t>
  </si>
  <si>
    <t>gm@ege.fcen.uba.ar</t>
  </si>
  <si>
    <t>Mataloni, Gabriela/0000-0002-6852-6143</t>
  </si>
  <si>
    <t>ADAC-CRYPTOGAMIE</t>
  </si>
  <si>
    <t>PARIS</t>
  </si>
  <si>
    <t>12 RUE DE BUFFON, 75005 PARIS, FRANCE</t>
  </si>
  <si>
    <t>0181-1568</t>
  </si>
  <si>
    <t>1776-0984</t>
  </si>
  <si>
    <t>CRYPTOGAMIE ALGOL</t>
  </si>
  <si>
    <t>Cryptogam. Algol.</t>
  </si>
  <si>
    <t>Plant Sciences; Marine &amp; Freshwater Biology</t>
  </si>
  <si>
    <t>087TB</t>
  </si>
  <si>
    <t>WOS:000240764200006</t>
  </si>
  <si>
    <t>Sleep, NH</t>
  </si>
  <si>
    <t>Sleep, Norman H.</t>
  </si>
  <si>
    <t>Mantle plumes from top to bottom</t>
  </si>
  <si>
    <t>EARTH-SCIENCE REVIEWS</t>
  </si>
  <si>
    <t>Review</t>
  </si>
  <si>
    <t>mantle plumes; hotspots; xenoliths; lithosphere; Antarctica; core-mantle boundary; tomography; geotherm</t>
  </si>
  <si>
    <t>ANTARCTIC RIFT SYSTEM; RE-OS ISOTOPE; THERMAL-CONVECTION; STRUCTURE BENEATH; PERIDOTITE XENOLITHS; TRANSANTARCTIC MOUNTAINS; ARCHEAN LITHOSPHERE; DEPENDENT VISCOSITY; CENOZOIC MAGMATISM; VELOCITY STRUCTURE</t>
  </si>
  <si>
    <t>Hotspots include midplate features like Hawaii and on-axis features like Iceland. Mantle plumes are a well-posed hypothesis for their formation. Starting plume heads provide an explanation of brief episodes of flood basalts, mafic intrusions, and radial dike swarms. Yet the essence of the hypothesis hides deep in the mantle. Tests independent of surface geology and geochemistry to date have been at best tantalizing. It is productive to bare the current ignorance, rather than to dump the plume hypothesis. One finds potentially fruitful lines of inquiry using simple dynamics and observations. Ancient lithospheric xenoliths may reveal heating by plumes and subsequent thermal equilibration in the past. The effect at the base of the chemical layer is modest 50-100 K for transient heating by plume. heads. Thinning of nonbuoyant platform lithosphere is readily observed but not directly attributable to plumes. The plume history in Antarctica is ill constrained because of poor geological exposure. This locality provides a worst case on what is known about surface evidence of hotspots. Direct detection of plume tail conduits in the mid-mantle is now at the edge of seismic resolution. Seismology does not provide adequate resolution of the deep mantle. We do not know the extent of a chemically dense dregs layer or whether superplume regions are cooler or hotter than an adiabat in equilibrium with the asthenosphere. Overall, mid-mantle seismology is most likely to give definitive results as plume conduits are the guts of the dynamic hypothesis. Finding them would bring unresolved deep and shallow processes into place. (c) 2006 Elsevier B.V. All rights reserved.</t>
  </si>
  <si>
    <t>Stanford Univ, Dept Geophys, Stanford, CA 94305 USA</t>
  </si>
  <si>
    <t>Stanford University</t>
  </si>
  <si>
    <t>Sleep, NH (corresponding author), Stanford Univ, Dept Geophys, Stanford, CA 94305 USA.</t>
  </si>
  <si>
    <t>norm@pangea.stanford.edu</t>
  </si>
  <si>
    <t>ELSEVIER</t>
  </si>
  <si>
    <t>AMSTERDAM</t>
  </si>
  <si>
    <t>RADARWEG 29, 1043 NX AMSTERDAM, NETHERLANDS</t>
  </si>
  <si>
    <t>0012-8252</t>
  </si>
  <si>
    <t>1872-6828</t>
  </si>
  <si>
    <t>EARTH-SCI REV</t>
  </si>
  <si>
    <t>Earth-Sci. Rev.</t>
  </si>
  <si>
    <t>10.1016/j.earscirev.2006.03.007</t>
  </si>
  <si>
    <t>Geosciences, Multidisciplinary</t>
  </si>
  <si>
    <t>Geology</t>
  </si>
  <si>
    <t>076IV</t>
  </si>
  <si>
    <t>WOS:000239951500001</t>
  </si>
  <si>
    <t>Ainley, DG; Ballard, G; Dugger, KM</t>
  </si>
  <si>
    <t>Ainley, David G.; Ballard, Grant; Dugger, Katie M.</t>
  </si>
  <si>
    <t>Competition among penguins and cetaceans reveals trophic cascades in the western Ross Sea, Antarctica</t>
  </si>
  <si>
    <t>ECOLOGY</t>
  </si>
  <si>
    <t>Adelie Penguin; Antarctica; Antarctic silverfish; Antarctic toothfish; crystal krill; killer whale; minke whale; prey availability; Ross Sea; sea ice; trophic cascade; trophic competition</t>
  </si>
  <si>
    <t>PHYTOPLANKTON TAXONOMIC VARIABILITY; ADELIE PENGUINS; MCMURDO SOUND; BECHERVAISE-ISLAND; FORAGING EFFORT; ICE CONDITIONS; PACIFIC-OCEAN; MINKE WHALES; FOOD WEBS; PREDATION</t>
  </si>
  <si>
    <t>An apparent trophic cascade that appears during summer in the western Ross Sea, Antarctica, explains why the Antarctic silverfish (Pleuragramma antarcticum) there becomes cannibalistic; its principal prey, crystal krill ( Euphausia crystallorophias) becomes scarce; and the diatom community is minimally grazed compared to adjacent areas. The krill is the major grazer of diatoms. On the basis of fieldwork at Ross Island, we suggest that the cascade results from foraging by unusually numerous Adelie Penguins (Pygoscelis adeliae), minke whales (Balaenoptera bonaerensis), and fish-eating killer whales (Orcinus orca). These species and other top predators apparently deplete the krill and silverfish. In drawing our conclusions, we were aided by two natural experiments.'' In one experiment,'' large, grounded icebergs altered the seasonal pattern of change in regional sea-ice cover, but not the seasonal change in penguin diet and foraging behavior that was also detected during the pre-iceberg era. In the other experiment,'' a short-term polynya ( opening in the ice) brought penguins and whales together in a confined area, this time altering both penguin diet and foraging behavior. We conclude that the foraging of penguins and whales, and not a formerly hypothesized seasonal decrease in sea-ice cover, explains (1) the annual switch in the penguins' prey from krill to silverfish, (2) the subsequent lengthening of penguin foraging trips, and (3) a marked decline of cetaceans in the area later in the season. Reduction in the middle-trophic-level prey is expressed in the relaxed grazing pressure on phytoplankton.</t>
  </si>
  <si>
    <t>HT Harvey &amp; Associates, San Jose, CA 95118 USA; PRBO, Conservat Sci, Bolinas, CA 94924 USA; Univ Auckland, Sch Biol Sci, Auckland 1, New Zealand; Oregon State Univ, Dept Fisheries &amp; Wildlife, Corvallis, OR 97331 USA</t>
  </si>
  <si>
    <t>University of Auckland; Oregon State University</t>
  </si>
  <si>
    <t>Ainley, DG (corresponding author), HT Harvey &amp; Associates, 3150 Almaden Expressway,Suite 145, San Jose, CA 95118 USA.</t>
  </si>
  <si>
    <t>dainley@penguinscience.com</t>
  </si>
  <si>
    <t>ECOLOGICAL SOC AMER</t>
  </si>
  <si>
    <t>1707 H ST NW, STE 400, WASHINGTON, DC 20006-3915 USA</t>
  </si>
  <si>
    <t>0012-9658</t>
  </si>
  <si>
    <t>10.1890/0012-9658(2006)87[2080:CAPACR]2.0.CO;2</t>
  </si>
  <si>
    <t>074SZ</t>
  </si>
  <si>
    <t>WOS:000239833400025</t>
  </si>
  <si>
    <t>Rinaldi, A</t>
  </si>
  <si>
    <t>Rinaldi, Andrea</t>
  </si>
  <si>
    <t>The cold side of life - The upcoming International Polar Year promises great advances in the exploration of the polar regions</t>
  </si>
  <si>
    <t>EMBO REPORTS</t>
  </si>
  <si>
    <t>Editorial Material</t>
  </si>
  <si>
    <t>ANTARCTIC SUBGLACIAL LAKES; VOSTOK</t>
  </si>
  <si>
    <t>Rinaldi, Andrea/N-1007-2019</t>
  </si>
  <si>
    <t>Rinaldi, Andrea/0000-0002-9352-1037</t>
  </si>
  <si>
    <t>NATURE PUBLISHING GROUP</t>
  </si>
  <si>
    <t>LONDON</t>
  </si>
  <si>
    <t>MACMILLAN BUILDING, 4 CRINAN ST, LONDON N1 9XW, ENGLAND</t>
  </si>
  <si>
    <t>1469-221X</t>
  </si>
  <si>
    <t>EMBO REP</t>
  </si>
  <si>
    <t>EMBO Rep.</t>
  </si>
  <si>
    <t>10.1038/sj.embor.7400764</t>
  </si>
  <si>
    <t>Biochemistry &amp; Molecular Biology; Cell Biology</t>
  </si>
  <si>
    <t>099KL</t>
  </si>
  <si>
    <t>WOS:000241593200005</t>
  </si>
  <si>
    <t>Taton, A; Grubisic, S; Balthasart, P; Hodgson, DA; Laybourn-Parry, J; Wilmotte, A</t>
  </si>
  <si>
    <t>Taton, Arnaud; Grubisic, Stana; Balthasart, Pierre; Hodgson, Dominic A.; Laybourn-Parry, Johanna; Wilmotte, Annick</t>
  </si>
  <si>
    <t>Biogeographical distribution and ecological ranges of benthic cyanobacteria in East Antarctic lakes</t>
  </si>
  <si>
    <t>FEMS MICROBIOLOGY ECOLOGY</t>
  </si>
  <si>
    <t>cyanobacteria; lake microbial mats; East Antarctic; morphological and molecular biodiversity</t>
  </si>
  <si>
    <t>16S RIBOSOMAL-RNA; MCMURDO DRY VALLEYS; MICROBIAL DIVERSITY; MORPHOLOGICAL CHARACTERIZATION; COMMUNITY STRUCTURE; SEQUENCE-ANALYSIS; SPACER SEQUENCES; VESTFOLD HILLS; DNA-SEQUENCES; SALINE LAKES</t>
  </si>
  <si>
    <t>For the first time, the cyanobacterial diversity from microbial mats in lakes of Eastern Antarctica was investigated using microscopic and molecular approaches. The present study assessed the biogeographical distribution of cyanobacteria in Antarctica. Five samples were taken from four lakes spanning a range of different ecological environments in Larsemann Hills, Vestfold Hills and Rauer Islands to evaluate the influence of lake characteristics on the cyanobacterial diversity. Seventeen morphospecies and 28 16S rRNA gene-based operational taxonomic units belonging to the Oscillatoriales, Nostocales and Chroococcales were identified. The internal transcribed spacer was evaluated to complement the 16S rRNA gene data and showed similar but more clear-cut tendencies. The molecular approach suggested that potential Antarctic endemic species, including a previously undiscovered diversity, are more abundant than has been estimated by morphological methods. Moreover, operational taxonomic units, also found outside Antarctica, were more widespread over the continent than potential endemics. The cyanobacterial diversity of the most saline lakes was found to differ from the others, and correlations between the sampling depth and the cyanobacterial communities can also be drawn. Comparison with database sequences illustrated the ubiquity of several cyanobacterial operational taxonomic units and their remarkable range of tolerance to harsh environmental conditions.</t>
  </si>
  <si>
    <t>Univ Liege, Inst Chim, Ctr Ingn Prot, B-4000 Liege, Belgium; Univ Liege, Inst Bot B22, Lab Algol Mycol &amp; Systemat Expt, B-4000 Liege, Belgium; British Antarctic Survey, NERC, Cambridge CB3 0ET, England; Univ Keele, Inst Environm Phys Sci &amp; Appl Math, Keele ST5 5BG, Staffs, England</t>
  </si>
  <si>
    <t>University of Liege; University of Liege; UK Research &amp; Innovation (UKRI); Natural Environment Research Council (NERC); NERC British Antarctic Survey; Keele University</t>
  </si>
  <si>
    <t>Wilmotte, A (corresponding author), Univ Liege, Inst Chim, Ctr Ingn Prot, B6, B-4000 Liege, Belgium.</t>
  </si>
  <si>
    <t>awilmotte@ulg.ac.be</t>
  </si>
  <si>
    <t>Wilmotte, Annick/H-1686-2011</t>
  </si>
  <si>
    <t>Wilmotte, Annick/0000-0003-3546-3489</t>
  </si>
  <si>
    <t>Natural Environment Research Council [bas010016] Funding Source: researchfish; NERC [bas010016] Funding Source: UKRI</t>
  </si>
  <si>
    <t>OXFORD UNIV PRESS</t>
  </si>
  <si>
    <t>GREAT CLARENDON ST, OXFORD OX2 6DP, ENGLAND</t>
  </si>
  <si>
    <t>0168-6496</t>
  </si>
  <si>
    <t>1574-6941</t>
  </si>
  <si>
    <t>FEMS MICROBIOL ECOL</t>
  </si>
  <si>
    <t>FEMS Microbiol. Ecol.</t>
  </si>
  <si>
    <t>10.1111/j.1574-6941.2006.00110.x</t>
  </si>
  <si>
    <t>Microbiology</t>
  </si>
  <si>
    <t>061QD</t>
  </si>
  <si>
    <t>WOS:000238886400010</t>
  </si>
  <si>
    <t>Nemirovskaya, IA</t>
  </si>
  <si>
    <t>Nemirovskaya, I. A.</t>
  </si>
  <si>
    <t>Organic compounds in the snow-ice cover of eastern Antarctica</t>
  </si>
  <si>
    <t>GEOCHEMISTRY INTERNATIONAL</t>
  </si>
  <si>
    <t>HYDROCARBONS</t>
  </si>
  <si>
    <t>This paper presents data on the concentration and composition of organic substances, lipids, and hydrocarbons, in the snow-ice cover of fast ices and continental lakes of Antarctica. It was shown that organic compounds were accumulated in the layers with the most intense autochthonous processes (mainly at the snow ice and ice-water boundaries). These zones remain active at a biogeochemical medium even at low temperatures. The maximum content of organic compounds (10-20 times that of the snow-ice cover of other regions) and a sharp change in the proportions of their migration forms in the ice volume were detected in the regions of penguin colonies (fast ice at Buromsky Island and a lake in Haswell Island). The content and composition of hydrocarbons in Antarctic ices were compared with those of Arctic ices.</t>
  </si>
  <si>
    <t>Russian Acad Sci, PP Shirshov Oceanol Inst, Moscow 117997, Russia</t>
  </si>
  <si>
    <t>Russian Academy of Sciences; Shirshov Institute of Oceanology</t>
  </si>
  <si>
    <t>Nemirovskaya, IA (corresponding author), Russian Acad Sci, PP Shirshov Oceanol Inst, Nakhimovskii Pr 36, Moscow 117997, Russia.</t>
  </si>
  <si>
    <t>nemir@geo.sio.rssi.ru</t>
  </si>
  <si>
    <t>Nemirovskaya, Inna/G-2392-2017</t>
  </si>
  <si>
    <t>MAIK NAUKA/INTERPERIODICA/SPRINGER</t>
  </si>
  <si>
    <t>233 SPRING ST, NEW YORK, NY 10013-1578 USA</t>
  </si>
  <si>
    <t>0016-7029</t>
  </si>
  <si>
    <t>1556-1968</t>
  </si>
  <si>
    <t>GEOCHEM INT+</t>
  </si>
  <si>
    <t>Geochem. Int.</t>
  </si>
  <si>
    <t>10.1134/S0016702906080076</t>
  </si>
  <si>
    <t>Geochemistry &amp; Geophysics</t>
  </si>
  <si>
    <t>155EV</t>
  </si>
  <si>
    <t>WOS:000245561600007</t>
  </si>
  <si>
    <t>Matrajt, G; Guan, Y; Leshin, L; Taylor, S; Genge, M; Joswiak, D; Brownlee, D</t>
  </si>
  <si>
    <t>Matrajt, G.; Guan, Y.; Leshin, L.; Taylor, S.; Genge, M.; Joswiak, D.; Brownlee, D.</t>
  </si>
  <si>
    <t>Oxygen isotope measurements of individual unmelted Antarctic micrometeorites</t>
  </si>
  <si>
    <t>GEOCHIMICA ET COSMOCHIMICA ACTA</t>
  </si>
  <si>
    <t>COSMIC SPHERULES; DUST PARTICLES; ACCRETION RATE; FRACTIONATION; MINERALOGY; CARBON; IRON; CI</t>
  </si>
  <si>
    <t>We present oxygen isotope measurements of 28 unmelted Antarctic micrometeorites measuring 150-250 mu m (long axis) collected in the South Pole water well. The micrometeorites were all unmelted and classified as either fine-grained, scoriaceous, coarse-grained or composite (a mix of two other classes). Spot analyses were made of each micrometeorite type using an ion microprobe. The oxygen isotope values were measured relative to standard mean ocean water (SMOW) and range from delta O-18 = 3 parts per thousand to 60 parts per thousand and delta O-17 = -1 parts per thousand to 32 parts per thousand falling along the terrestrial fractionation line (TFL) within 2 sigma errors. Several analytical spots (comprising multiple phases) were made on each particle. Variability in the oxygen isotope ratios was observed among micrometeorite types, between micrometeorites of the same type and between analytical spots on a single micrometeorite indicating that micrometeorites are isotopically heterogeneous. In general, the lowest isotope values are associated with the coarse-grained micrometeorites whereas most of the fine-grained and scoriaceous micrometeorites have an average delta O-18 &gt;= 22 parts per thousand, suggesting that the matrix in micrometeorites is isotopically heavier than the anhydrous silicate phases. The oxygen isotope values for the coarse-grained micrometeorites, composed mainly of anhydrous phases, do not lie along the carbonaceous chondrite anhydrous mineral (CCAM) line, as observed for olivines, pyroxenes and some kinds of chondrules in carbonaceous chondrites, suggesting that coarse-grained MMs are not related to chondrules, as previously thought. Our measurements span the same range as values found for melted micrometeorites in other studies. Although four of the micrometeorites have oxygen isotope values lying along the TFL, close to the region where the bulk Cl carbonaceous chondrites are found, 21 particles have very enriched O-17 and O-18 values that have not been reported in previous analyses of chondrite matrix material, suggesting that they could be a new type of Solar System object. The parent bodies of the micrometeorites with higher O-18 values may be thermal metamorphosed carbonaceous asteroids that have not been found as meteorites either because they are friable asteroids that produce small particles rather than rocks upon collision with other bodies, or because the rocks they produce are too friable to survive atmospheric entry. (c) 2006 Elsevier Inc. All rights reserved.</t>
  </si>
  <si>
    <t>Univ Washington, Dept Astron, Seattle, WA 98195 USA; Arizona State Univ, Dept Geol Sci, Tempe, AZ 85287 USA; USA, Cold Reg Res &amp; Engn Lab, Lebanon, NH 03766 USA; Univ London Imperial Coll Sci Technol &amp; Med, Dept Earth Sci &amp; Engn, IARC, London SW7 2AZ, England</t>
  </si>
  <si>
    <t>University of Washington; University of Washington Seattle; Arizona State University; Arizona State University-Tempe; United States Department of Defense; United States Army; U.S. Army Corps of Engineers; U.S. Army Engineer Research &amp; Development Center (ERDC); Cold Regions Research &amp; Engineering Laboratory (CRREL); Imperial College London; Natural History Museum London</t>
  </si>
  <si>
    <t>Matrajt, G (corresponding author), Univ Washington, Dept Astron, Box 351580, Seattle, WA 98195 USA.</t>
  </si>
  <si>
    <t>matrajt@astro.washington.edu</t>
  </si>
  <si>
    <t>Matrajt, Graciela/A-4812-2017</t>
  </si>
  <si>
    <t>0016-7037</t>
  </si>
  <si>
    <t>1872-9533</t>
  </si>
  <si>
    <t>GEOCHIM COSMOCHIM AC</t>
  </si>
  <si>
    <t>Geochim. Cosmochim. Acta</t>
  </si>
  <si>
    <t>AUG 1</t>
  </si>
  <si>
    <t>10.1016/j.gca.2006.05.010</t>
  </si>
  <si>
    <t>073TP</t>
  </si>
  <si>
    <t>WOS:000239765800017</t>
  </si>
  <si>
    <t>Huber, H; Rubin, AE; Kallemeyn, GW; Wasson, JT</t>
  </si>
  <si>
    <t>Huber, Heinz; Rubin, Alan E.; Kallemeyn, Gregory W.; Wasson, John T.</t>
  </si>
  <si>
    <t>Siderophile-element anomalies in CK carbonaceous chondrites: Implications for parent-body aqueous alteration and terrestrial weathering of sulfides</t>
  </si>
  <si>
    <t>CHEMICAL-COMPOSITION; COLLISIONAL HISTORY; NOBLE-GAS; METEORITES; MARALINGA; AGES; CLASSIFICATION; TEMPERATURE; SELENIUM; SULFUR</t>
  </si>
  <si>
    <t>CK chondrites constitute the most oxidized anhydrous carbonaceous chondrite group; most of the Fe occurs in magnetite and in FeO-rich mafic silicates. The two observed CK falls (Karoonda and Kobe), along with thirteen relatively unweathered CK finds, have unfractionated siderophile-element abundance patterns. In contrast, a sizable fraction of CK finds (9 of 24 investigated) shows fractionated siderophile abundance patterns including low abundances of Ni, Co, Se and Au; the most extreme depletions are in Ni (0.24 of normal CK) and Au (0.14 of normal CK). This depletion pattern has not been found in other chondrite groups. Out of the 74 CK chondrites listed in the Meteoritical Bulletin Database (2006; excluded considerably paired specimens; see http://tin.er.usgs.gov/meteor/metbull.php) we analyzed 24 and subclassified the CK chondrites in terms of their chemical composition and sulfide mineralogy: sL (siderophiles low; six samples) for large depletions in Ni, Co, Se and Au (&gt; 50% of sulfides lost); sM (siderophiles medium; two CKs) for moderately low Ni and Co abundances (sulfides are highly altered or partly lost); sH (siderophiles high; one specimen) for enrichments in Ni, Co, Se and An; 'normal' for unfractionated samples (13 samples). The sole sH sample may have obtained additional sulfide from impact redistribution in the parent asteroid. We infer that these elements became incorporated into sulfides after asteroidal aqueous processes oxidized nebular metal; thermal metamorphism probably also played a role in their mineral siting. The siderophile losses in the sL and sM samples are mainly the result of oxidation of pentlandite, pyrite and violarite by terrestrial alteration followed by leaching of the resulting phases. Some Antarctic CK chondrites have lost most of their sulfides but retained Ni, Co, Se and Au, presumably as insoluble weathering products. (c) 2006 Elsevier Inc. All rights reserved.</t>
  </si>
  <si>
    <t>Univ Calif Los Angeles, Inst Geophys &amp; Planetary Phys, Los Angeles, CA 90095 USA; Univ Calif Los Angeles, Dept Chem &amp; Biochem, Los Angeles, CA 90095 USA; Univ Calif Los Angeles, Dept Earth &amp; Space Sci, Los Angeles, CA 90095 USA</t>
  </si>
  <si>
    <t>University of California System; University of California Los Angeles; University of California System; University of California Los Angeles; University of California System; University of California Los Angeles</t>
  </si>
  <si>
    <t>Huber, H (corresponding author), Univ Calif Los Angeles, Inst Geophys &amp; Planetary Phys, Los Angeles, CA 90095 USA.</t>
  </si>
  <si>
    <t>hhuber@ucla.edu</t>
  </si>
  <si>
    <t>Wasson, John/0000-0002-7253-2300; Huber, Heinz/0000-0001-8504-4915</t>
  </si>
  <si>
    <t>10.1016/j.gca.2006.06.001</t>
  </si>
  <si>
    <t>WOS:000239765800018</t>
  </si>
  <si>
    <t>Carson, D; Ganeshram, R</t>
  </si>
  <si>
    <t>Carson, D.; Ganeshram, R.</t>
  </si>
  <si>
    <t>Reconstructing biogeochemical processes in the near shore Antarctic sea ice environment</t>
  </si>
  <si>
    <t>16th Annual V M Goldschmidt Conference</t>
  </si>
  <si>
    <t>AUG-SEP -, 2006</t>
  </si>
  <si>
    <t>Melbourne, AUSTRALIA</t>
  </si>
  <si>
    <t>Univ Edinburgh, Edinburgh, Midlothian, Scotland</t>
  </si>
  <si>
    <t>University of Edinburgh</t>
  </si>
  <si>
    <t>Ganeshram, Raja S/JPX-5314-2023</t>
  </si>
  <si>
    <t>AUG-SEP</t>
  </si>
  <si>
    <t>S</t>
  </si>
  <si>
    <t>A86</t>
  </si>
  <si>
    <t>10.1016/j.gca.2006.06.084</t>
  </si>
  <si>
    <t>Conference Proceedings Citation Index - Science (CPCI-S); Science Citation Index Expanded (SCI-EXPANDED)</t>
  </si>
  <si>
    <t>096JU</t>
  </si>
  <si>
    <t>WOS:000241374200182</t>
  </si>
  <si>
    <t>Cook, MR; Elderfield, H; Zahn, R; Pahnke, K</t>
  </si>
  <si>
    <t>Cook, M. R.; Elderfield, H.; Zahn, R.; Pahnke, K.</t>
  </si>
  <si>
    <t>High resolution trace metal analysis of benthic foraminifera reveal nutrient excursions in Antarctic Intermediate Water</t>
  </si>
  <si>
    <t>Univ Cambridge, Dept Earth Sci, Cambridge CB2 3EQ, England; Univ Autonoma Barcelona, ICREA, Institucio Catalana Recerca Estudis Avancats, Barcelona, Spain; MIT, Dept Earth Atmospher &amp; Planetary Sci, Cambridge, MA 02139 USA</t>
  </si>
  <si>
    <t>University of Cambridge; ICREA; Autonomous University of Barcelona; Massachusetts Institute of Technology (MIT)</t>
  </si>
  <si>
    <t>mrc43@cam.ac.uk; rainer.zahn@uab.es; kpahnke@mit.edu</t>
  </si>
  <si>
    <t>ICREA Funding Source: Custom</t>
  </si>
  <si>
    <t>ICREA(ICREA)</t>
  </si>
  <si>
    <t>A109</t>
  </si>
  <si>
    <t>10.1016/j.gca.2006.06.132</t>
  </si>
  <si>
    <t>Science Citation Index Expanded (SCI-EXPANDED); Conference Proceedings Citation Index - Science (CPCI-S)</t>
  </si>
  <si>
    <t>WOS:000241374200229</t>
  </si>
  <si>
    <t>Dickinson, WW</t>
  </si>
  <si>
    <t>Dickinson, W. W.</t>
  </si>
  <si>
    <t>Deep weathering and mineralization in the Sirius Group: A Martian analogue in the dry valleys, Antarctica</t>
  </si>
  <si>
    <t>Victoria Univ Wellington, Antarctic Res Ctr, Wellington, New Zealand</t>
  </si>
  <si>
    <t>Victoria University Wellington</t>
  </si>
  <si>
    <t>Warren.Dickinson@VUW.AC.NZ</t>
  </si>
  <si>
    <t>A141</t>
  </si>
  <si>
    <t>10.1016/j.gca.2006.06.298</t>
  </si>
  <si>
    <t>WOS:000241374200292</t>
  </si>
  <si>
    <t>Mikucki, JA; Priscu, JC; Lyons, WB; Welch, KA; Tranter, M; Pearson, A</t>
  </si>
  <si>
    <t>Mikucki, J. A.; Priscu, J. C.; Lyons, W. B.; Welch, K. A.; Tranter, M.; Pearson, A.</t>
  </si>
  <si>
    <t>Geomicrobiology of an Antarctic subglacial brine: A plausible Martian ecosystem</t>
  </si>
  <si>
    <t>Harvard Univ, Boston, MA 02115 USA; Montana State Univ, Bozeman, MT 59717 USA; Bristol Glaciol Ctr, Bristol, Avon, England</t>
  </si>
  <si>
    <t>Harvard University; Montana State University System; Montana State University Bozeman</t>
  </si>
  <si>
    <t>jmikucki@fas.harvard.edu; jpriscu@montana.edu; m.tranter@bristol.ac.uk; apearson@eps.harvard.edu</t>
  </si>
  <si>
    <t>Tranter, Martyn/E-3722-2010</t>
  </si>
  <si>
    <t>Tranter, Martyn/0000-0003-2071-3094</t>
  </si>
  <si>
    <t>A419</t>
  </si>
  <si>
    <t>10.1016/j.gca.2006.06.844</t>
  </si>
  <si>
    <t>WOS:000241374201090</t>
  </si>
  <si>
    <t>Ohkouchi, N; Toyoda, M; Yokoyama, Y; Miura, H; Chikaraishi, Y; Tokuyama, H; Kitazato, H</t>
  </si>
  <si>
    <t>Ohkouchi, N.; Toyoda, M.; Yokoyama, Y.; Miura, H.; Chikaraishi, Y.; Tokuyama, H.; Kitazato, H.</t>
  </si>
  <si>
    <t>Massive melting of West Antarctic Ice Sheet during the latest pleistocene and holocene: Hydrogen isotopic records of sedimentary biomarkers in Ross Sea</t>
  </si>
  <si>
    <t>Univ Tokyo, Ocean Res Inst, Tokyo, Japan; Univ Tokyo, Dept Earth &amp; Planetary Sci, Tokyo, Japan; Natl Inst Polar Res, Tokyo, Japan</t>
  </si>
  <si>
    <t>University of Tokyo; University of Tokyo; Research Organization of Information &amp; Systems (ROIS); National Institute of Polar Research (NIPR) - Japan</t>
  </si>
  <si>
    <t>nohkouchi@jamstec.go.jp</t>
  </si>
  <si>
    <t>Yokoyama, Yusuke/N-9623-2013</t>
  </si>
  <si>
    <t>A453</t>
  </si>
  <si>
    <t>10.1016/j.gca.2006.06.912</t>
  </si>
  <si>
    <t>WOS:000241374201155</t>
  </si>
  <si>
    <t>Russell, JL; Dixon, KW; Gnanadesikan, A; Toggweiler, JR; Stouffer, RJ</t>
  </si>
  <si>
    <t>Russell, J. L.; Dixon, K. W.; Gnanadesikan, A.; Toggweiler, J. R.; Stouffer, R. J.</t>
  </si>
  <si>
    <t>The once and future battles between thor and the midgard serpent: The Southern Hemisphere Westerlies and the Antarctic Circumpolar Current</t>
  </si>
  <si>
    <t>Univ Arizona, Dept Geosci, Tucson, AZ USA; NOAA, GFDL, Princeton, NJ USA</t>
  </si>
  <si>
    <t>University of Arizona; National Oceanic Atmospheric Admin (NOAA) - USA</t>
  </si>
  <si>
    <t>jrussell@geo.arizona.edu</t>
  </si>
  <si>
    <t>Gnanadesikan, Anand/A-2397-2008; Toggweiler, J. R./O-5883-2019; Dixon, Keith/L-7120-2015</t>
  </si>
  <si>
    <t>Toggweiler, J. R./0000-0001-6345-5756; Gnanadesikan, Anand/0000-0001-5784-1116; Dixon, Keith/0000-0003-3044-326X</t>
  </si>
  <si>
    <t>A547</t>
  </si>
  <si>
    <t>10.1016/j.gca.2006.06.1010</t>
  </si>
  <si>
    <t>WOS:000241374201342</t>
  </si>
  <si>
    <t>van de Flierdt, T; Hemming, SR; Goldstein, SL; Abouchami, W</t>
  </si>
  <si>
    <t>van de Flierdt, T.; Hemming, S. R.; Goldstein, S. L.; Abouchami, W.</t>
  </si>
  <si>
    <t>The radiogenic isotope fingerprint of Wilkes Land-Adelie Coast Bottom Water in the Circum-Antarctic Ocean</t>
  </si>
  <si>
    <t>Columbia Univ, Lamont Doherty Geol Observ, Palisades, NY 10964 USA; Max Planck Inst Chem, D-55128 Mainz, Germany</t>
  </si>
  <si>
    <t>Columbia University; Max Planck Society</t>
  </si>
  <si>
    <t>tina@ldeo.columbia.edu</t>
  </si>
  <si>
    <t>Hemming, Sidney/0000-0001-8117-2303</t>
  </si>
  <si>
    <t>A665</t>
  </si>
  <si>
    <t>10.1016/j.gca.2006.06.1243</t>
  </si>
  <si>
    <t>WOS:000241374201576</t>
  </si>
  <si>
    <t>Webster-Brown, JG</t>
  </si>
  <si>
    <t>Webster-Brown, J. G.</t>
  </si>
  <si>
    <t>Biogeochemical controls on trace element concentrations in Antarctic meltwaters</t>
  </si>
  <si>
    <t>Univ Auckland, Dept Chem, Auckland 92019, New Zealand</t>
  </si>
  <si>
    <t>University of Auckland</t>
  </si>
  <si>
    <t>j.webster@auckland.ac.nz</t>
  </si>
  <si>
    <t>A693</t>
  </si>
  <si>
    <t>10.1016/j.gca.2006.06.1507</t>
  </si>
  <si>
    <t>WOS:000241374201630</t>
  </si>
  <si>
    <t>Cai, YJ; An, ZS; Cheng, H; Edwards, RL; Kelly, MJ; Liu, WG; Wang, XF; Shen, CC</t>
  </si>
  <si>
    <t>Cai, Yanjun; An, Zhisheng; Cheng, Hai; Edwards, R. Lawrence; Kelly, Megan J.; Liu, Weiguo; Wang, Xianfeng; Shen, Chuan-Chou</t>
  </si>
  <si>
    <t>High-resolution absolute-dated Indian Monsoon record between 53 and 36 ka from Xiaobailong Cave, southwestern China</t>
  </si>
  <si>
    <t>GEOLOGY</t>
  </si>
  <si>
    <t>southwest China; stalagmite; U-series dating; 8(18)0; paleoclimate; absolute chronology; Indian summer Monsoon; Chinese Interstadials</t>
  </si>
  <si>
    <t>CLIMATE OSCILLATIONS; OXYGEN-ISOTOPE; ASIAN MONSOON; ARABIAN SEA; HULU CAVE; GREENLAND; VARIABILITY; ICE; EVENTS; SYSTEMATICS</t>
  </si>
  <si>
    <t>The oxygen isotopic record of stalagmite XBL-1 from southwestern China reveals millennial-scale variability of the Indian Monsoon between 53 and 36 ka, synchronous with changes in the East Asian Monsoon recorded at Hulu Cave and similar to Dansgaard-Oeschger cycles recorded in Greenland ice. Our record, in general, confirms the chronology of Hulu Cave. If our correlations between Greenland and the Xiaobailong Cave record are correct, both the Greenland Ice Sheet Project 2 and Greenland Ice Core Project (ss09sea) chronologies are accurate within quoted errors. A dry interval that we correlate with Heinrich Event 5 (115) and the Greenland stadial preceding Greenland Interstadial 12 (GIS 12) is centered ca. 48.0 ka and a shift to drier conditions, correlated to the end of GIS 12, is ca. 43.5 ka. Overall, the variability of the Indian Monsoon, from XBL-1 data, on millennial scales is similar to and correlated with high-latitude ice core records from the Northern Hemisphere. However, some Indian Monsoon characteristics more closely resemble, but are anticorrelated with, features in the Antarctic record, suggesting some link to climate of the high southern latitudes, in addition to the clear link to the climate of the high northern latitudes.</t>
  </si>
  <si>
    <t>Chinese Acad Sci, Inst Earth Environm, State Key Lab Loess &amp; Quaternary Geol, Xian 710075, Peoples R China; Univ Minnesota, Dept Geol &amp; Geophys, Minneapolis, MN 55455 USA; Natl Taiwan Univ, Dept Geosci, Taipei 106, Taiwan</t>
  </si>
  <si>
    <t>Chinese Academy of Sciences; Institute of Earth Environment, CAS; University of Minnesota System; University of Minnesota Twin Cities; National Taiwan University</t>
  </si>
  <si>
    <t>Cai, YJ (corresponding author), Chinese Acad Sci, Inst Earth Environm, State Key Lab Loess &amp; Quaternary Geol, Xian 710075, Peoples R China.</t>
  </si>
  <si>
    <t>CHENG, HAI/H-3413-2017; Liu, Weiguo/J-1824-2014; Shen, Chuan-Chou/JCE-1989-2023; AN, Zhisheng/F-8834-2012; lin, ke/GZM-8300-2022; Edwards, Richard/JAX-3732-2023; Edwards, R. Lawrence/I-3124-2014; Shen, Chuan-Chou/H-9642-2013; Cai, Yanjun/A-9462-2010; Wang, Xianfeng/F-1233-2014</t>
  </si>
  <si>
    <t>CHENG, HAI/0000-0002-5305-9458; Shen, Chuan-Chou/0000-0003-2833-2771; Shen, Chuan-Chou/0000-0003-2833-2771; Cai, Yanjun/0000-0001-7063-5050; Wang, Xianfeng/0000-0002-8614-5627; An, Zhisheng/0000-0002-9538-9826</t>
  </si>
  <si>
    <t>GEOLOGICAL SOC AMER, INC</t>
  </si>
  <si>
    <t>PO BOX 9140, BOULDER, CO 80301-9140 USA</t>
  </si>
  <si>
    <t>0091-7613</t>
  </si>
  <si>
    <t>1943-2682</t>
  </si>
  <si>
    <t>10.1130/G22567.1</t>
  </si>
  <si>
    <t>076DM</t>
  </si>
  <si>
    <t>WOS:000239937200004</t>
  </si>
  <si>
    <t>Ajayakumar, P; Kurian, PJ; Rajendran, S; Radhakrishna, M; Nambiar, CG; Mahadevan, TM</t>
  </si>
  <si>
    <t>Ajayakumar, P.; Kurian, P. John; Rajendran, S.; Radhakrishna, M.; Nambiar, C. G.; Mahadevan, T. M.</t>
  </si>
  <si>
    <t>Heterogeneity in crustal structure across the Southern Granulite Terrain (SGT): Inferences from an analysis of gravity and magnetic fields in the Periyar plateau and adjoining areas</t>
  </si>
  <si>
    <t>GONDWANA RESEARCH</t>
  </si>
  <si>
    <t>gravity anomalies; crustal structure; Periyar plateau; Southern Granulite Terrain; Proterozoic</t>
  </si>
  <si>
    <t>INDIA; KERALA</t>
  </si>
  <si>
    <t>The study region forms the western part of the Madurai block (southern block) and shares several lithological characteristics of the Proterozoic exhumed South Indian Granulite Terrain (SGT). The crustal structure of the area has been derived from gravity data, constrained partly by aeromagnetic data. The Bouguer anomaly map of the region prepared based on detailed gravity observations shows a number of features (i) the Periyar lineament separates two distinctly different gravity fields, one, a high gravity gradient tending to be positive towards the coast in south west and significant gravity lows ranging from - 85 to as low as - 150 mGal in the NE covering a large part of the Periyar plateau (ii) within the broad gravity low, three localised circular anomalies of considerable amplitude occur in the region of Munnar granite. A magnetic low region in the central part coincides with the area of retrogressed charnockites and the major lineaments suggestive of a genetic link and considerable downward extent. The crustal models indicate that the upper layer containing exhumed lower crustal rocks (2.76 gm/cc) is almost homogeneous, most part of the gravity field resulting from variations in intracrustal layers of decharnockitised hornblendic gneisses and granite bodies. Below it, a denser layer (2.85 gm/cc) of unknown composition exists with Moho depth ranging from 36 to 41 km. The structure below the region is compared with that of two other segments of the SGT from which it differs markedly. The Wynad plateau forming the western part of the Northern Block of the SGT is characterised by a heterogeneity due to the presence of contrasting crustal blocks on either side of the Bavali shear zone, possibly a westward extension of the Moyar shear zone and presence of high density material in the mid-to-lower crustal portions. The crust below the Kuppam-Palani transect has a distinctive four-layer structure with a mid-crustal low density layer. The differences in crustal structure are consistent with the different tectonic settings of the three regions discussed in the paper. It is suggested that the crustal structure below the Kuppam-Palani transect corridor is not representative of the SGT as a whole, an aspect of great relevance to intra-continental comparisons and trans-continental reconstructions of continent configurations of the Gondwanaland. (C) 2006 International Association for Gondwana Research. Published by Elsevier B.V. All rights reserved.</t>
  </si>
  <si>
    <t>Sree Bagh, Cochin 682035, Kerala, India; Natl Ctr Antarctic &amp; Ocean Res, Vasco Da Gama 403804, Goa, India; Cochin Univ Sci &amp; Technol, Dept Marine Geol &amp; Geophys, Cochin 682016, Kerala, India</t>
  </si>
  <si>
    <t>Ministry of Earth Sciences (MoES) - India; National Centre for Polar and Ocean Research (NCPOR); Cochin University Science &amp; Technology</t>
  </si>
  <si>
    <t>Mahadevan, TM (corresponding author), Sree Bagh, Ammankovil Rd, Cochin 682035, Kerala, India.</t>
  </si>
  <si>
    <t>enk_mahadev@sancharnet.in</t>
  </si>
  <si>
    <t>Munukutla, Radhakrishna/KHC-9250-2024</t>
  </si>
  <si>
    <t>1342-937X</t>
  </si>
  <si>
    <t>1878-0571</t>
  </si>
  <si>
    <t>GONDWANA RES</t>
  </si>
  <si>
    <t>Gondwana Res.</t>
  </si>
  <si>
    <t>1-2</t>
  </si>
  <si>
    <t>10.1016/j.gr.2005.11.011</t>
  </si>
  <si>
    <t>068TQ</t>
  </si>
  <si>
    <t>WOS:000239397700003</t>
  </si>
  <si>
    <t>Yatheesh, V; Bhattacharya, GC; Mahender, K</t>
  </si>
  <si>
    <t>Yatheesh, V.; Bhattacharya, G. C.; Mahender, K.</t>
  </si>
  <si>
    <t>The terrace like feature in the mid-continental slope region off Trivandrum and a plausible model for India-Madagascar juxtaposition in immediate pre-drift scenario</t>
  </si>
  <si>
    <t>terrace; Madagascar Ridge; India-Madagascar juxtaposition; paleogeographic reconstruction; shear zones</t>
  </si>
  <si>
    <t>TECTONIC FRAMEWORK; SOUTHERN INDIA; EAST GONDWANA; BREAK-UP; HOT-SPOT; EVOLUTION; OCEAN; BASINS; MARGIN; RIDGE</t>
  </si>
  <si>
    <t>Bathymetry of the southwestern continental margin of India reveals the presence of an anomalous terrace like feature in the mid-continental slope region off Trivandrum. The genesis of this terrace of large areal extent (similar to 9000 sq. km.) is yet to be established. Based on exercises with several existing paleogeographic reconstruction models and updated compilation of identified offshore tectonic elements, this study attempts to identify a plausible model of India-Madagascar juxtaposition in immediate pre-drift scenario, which provides idea about genesis of this terrace. It is inferred that the terrace off Trivandrum and an anomalous bathymetric notch located in the northern Madagascar Ridge are conjugate features related to India-Madagascar separation and the rifted and sheared segments of the pre-drift plate boundary have shaped their outlines. The drifting of India from Madagascar is suggested to have commenced at about 86.5 Ma. (C) 2006 International Association for Gondwana Research. Published by Elsevier B.V. All rights reserved.</t>
  </si>
  <si>
    <t>Natl Ctr Antarctic &amp; Ocean Res, Vasco Da Gama 403804, Goa, India; Natl Inst Oceanog, Geol Oceanog Div, Panaji 403004, Goa, India; Goa Univ, Dept Earth Sci, Taleigao Plateau 403206, Goa, India</t>
  </si>
  <si>
    <t>Ministry of Earth Sciences (MoES) - India; National Centre for Polar and Ocean Research (NCPOR); Council of Scientific &amp; Industrial Research (CSIR) - India; CSIR - National Institute of Oceanography (NIO); Goa University</t>
  </si>
  <si>
    <t>Yatheesh, V (corresponding author), Natl Ctr Antarctic &amp; Ocean Res, Headland Sada, Vasco Da Gama 403804, Goa, India.</t>
  </si>
  <si>
    <t>yatheesh@ncaor.org</t>
  </si>
  <si>
    <t>Vadakkeyakath, Yatheesh/C-3067-2009; Kotha, Mahender/T-3243-2019</t>
  </si>
  <si>
    <t>Kotha, Mahender/0000-0002-5165-6726; Vadakkeyakath, Yatheesh/0000-0002-4379-3536</t>
  </si>
  <si>
    <t>10.1016/j.gr.2005.11.021</t>
  </si>
  <si>
    <t>WOS:000239397700016</t>
  </si>
  <si>
    <t>Liu, HX; Wang, L; Jezek, KC</t>
  </si>
  <si>
    <t>Liu, Hongxing; Wang, Lei; Jezek, Kenneth C.</t>
  </si>
  <si>
    <t>Automated. delineation of dry and melt snow zones in antarctica using active and passive microwave observations from space</t>
  </si>
  <si>
    <t>IEEE TRANSACTIONS ON GEOSCIENCE AND REMOTE SENSING</t>
  </si>
  <si>
    <t>Antarctica; passive microwave; snow zones; synthetic aperture radar (SAR)</t>
  </si>
  <si>
    <t>EDGE-DETECTION; BREAK-UP; ICE; COASTLINE; DURATION; EXTENT</t>
  </si>
  <si>
    <t>This paper presents the algorithms and analysis results for delineating snow zones using active and passive microwave satellite remote sensing data. With a high-resolution Radar sat synthetic aperture radar (SAR) image mosaic, dry snow zones, percolation zones, wet snow zones, and blue ice patches for the Antarctic continent have been successfully delineated. A competing region growing and merging algorithm is used to initially segment the SAR images into a series of homogeneous regions. Based on the backscatter characteristics and texture property, these image regions are classified into different snow zones. The higher level of knowledge about the areal size of and adjacency relationship between snow zones is incorporated into the algorithms to correct classification errors caused by the SAR image noise and relief-induced radiometric distortions. Mathematical morphology operations and a line-tracing algorithm are designed to extract a vector line representation of snow-zone boundaries. With the daily passive microwave Special Sensor Microwave/Imager (SSM/I) data, dry and melt snow zones were derived using a multiscale wavelet-transform-based method. The analysis results respectively derived from Radarsat SAR and SSM/I data were compared and correlated. The complementary nature and comparative advantages of frequently repeated passive microwave data and spatially detailed radar imagery for detecting and characterizing snow zones were demonstrated.</t>
  </si>
  <si>
    <t>Texas A&amp;M Univ, Dept Geog, College Stn, TX 77843 USA; Ohio State Univ, Byrd Polar Res Ctr, Columbus, OH 43210 USA</t>
  </si>
  <si>
    <t>Texas A&amp;M University System; Texas A&amp;M University College Station; University System of Ohio; Ohio State University</t>
  </si>
  <si>
    <t>Liu, HX (corresponding author), Texas A&amp;M Univ, Dept Geog, College Stn, TX 77843 USA.</t>
  </si>
  <si>
    <t>liu@geog.tamu.edu; wanglei@geog.tamu.edu; jezek@frosty.mps.ohio-state.edu</t>
  </si>
  <si>
    <t>IEEE-INST ELECTRICAL ELECTRONICS ENGINEERS INC</t>
  </si>
  <si>
    <t>PISCATAWAY</t>
  </si>
  <si>
    <t>445 HOES LANE, PISCATAWAY, NJ 08855-4141 USA</t>
  </si>
  <si>
    <t>0196-2892</t>
  </si>
  <si>
    <t>1558-0644</t>
  </si>
  <si>
    <t>IEEE T GEOSCI REMOTE</t>
  </si>
  <si>
    <t>IEEE Trans. Geosci. Remote Sensing</t>
  </si>
  <si>
    <t>10.1109/TGRS.2006.872132</t>
  </si>
  <si>
    <t>Geochemistry &amp; Geophysics; Engineering, Electrical &amp; Electronic; Remote Sensing; Imaging Science &amp; Photographic Technology</t>
  </si>
  <si>
    <t>Geochemistry &amp; Geophysics; Engineering; Remote Sensing; Imaging Science &amp; Photographic Technology</t>
  </si>
  <si>
    <t>068WA</t>
  </si>
  <si>
    <t>WOS:000239404000014</t>
  </si>
  <si>
    <t>De Clercq, D; Van Trappen, S; Cleenwerck, I; Ceustermans, A; Swings, J; Coosemans, J; Ryckeboer, J</t>
  </si>
  <si>
    <t>De Clercq, Deborah; Van Trappen, Stefanie; Cleenwerck, Ilse; Ceustermans, An; Swings, Jean; Coosemans, Jozef; Ryckeboer, Jaak</t>
  </si>
  <si>
    <t>Rhodanobacter spathiphylli sp nov., a gammaproteobacterium isolated from the roots of Spathiphyllum plants grown in a compost-amended potting mix</t>
  </si>
  <si>
    <t>INTERNATIONAL JOURNAL OF SYSTEMATIC AND EVOLUTIONARY MICROBIOLOGY</t>
  </si>
  <si>
    <t>ANTARCTIC LAKES; MICROBIAL MATS; GEN. NOV.; BACTERIA; HYBRIDIZATION; SOIL; DNA</t>
  </si>
  <si>
    <t>Three Gram-negative, yellow-pigmented strains were isolated from the rhizospheres of Spathiphyllum plants grown in a compost-amended potting mix. The strains showed biological control activity towards the root-rot plant pathogen Cylindrocladium spathiphylli, and were characterized to determine their taxonomic position. Cells of the strains were non-motile rods, and the strains were oxidase- and catalase-positive and unable to ferment most sugars tested. The three strains showed differences in growth temperature range, optimal growth temperature and some biochemical reactions. The majority of the fatty acids were branched, and large amounts of 15 : 0 iso and 17 : 1 iso omega 9c were present. The 16S rRNA gene sequence (1497 bp) of strain B39(T) showed the highest level of similarity (98(.)5 %) to that of Rhodanobacter fulvus IAM 15025(T), followed by Rhodanobacter lindaniclasticus LMG 18385(T) (96(.)0 %; strain no longer extant), Dyella koreensis CCUG 50883(T) (96(.)4%), Dyellajaponica DSM 16301(T) (96(.)3 %), Frateuria aurantia LMG 1558(T) (96(.)2 %) and Fulvimonas soli LMG 19981(T) (95(.)9 %). Less than 90 % 16S rRNA gene sequence similarity was observed for other members of the Gammaproteobacteria. The mean DNA-DNA reassociation value for the three strains was 100 % and was 25 % when the strains were compared with DNA from R. fulvus LMG 23003 T. The strains had a mean DNA G + C content of 67(.)6 mol%. On the basis of their phylogenetic, genomic and phenotypic properties, the three strains represent a novel species within the genus Rhodanobacter, for which the name Rhodanobacter spathiphylli sp. nov. is proposed. The type strain is strain B39T (= LMG 23181(T) =DSM 17631(T)).</t>
  </si>
  <si>
    <t>Katholieke Univ Leuven, Lab Phytopathol &amp; Plant Protect, B-3001 Louvain, Belgium; Univ Ghent, BCCM, LMG Bacteria Coll, Microbiol Lab, B-9000 Ghent, Belgium</t>
  </si>
  <si>
    <t>KU Leuven; Ghent University</t>
  </si>
  <si>
    <t>De Clercq, D (corresponding author), Katholieke Univ Leuven, Lab Phytopathol &amp; Plant Protect, W De Croylaan 42, B-3001 Louvain, Belgium.</t>
  </si>
  <si>
    <t>Deborah.declercq@biw.kuleuven.be; Jaak.ryckeboer@biw.kuleuven.be</t>
  </si>
  <si>
    <t>Cleenwerck, Ilse/X-1168-2019</t>
  </si>
  <si>
    <t>Van Trappen, Stefanie/0000-0002-7431-4606; Cleenwerck, Ilse/0000-0001-9943-4199</t>
  </si>
  <si>
    <t>SOC GENERAL MICROBIOLOGY</t>
  </si>
  <si>
    <t>READING</t>
  </si>
  <si>
    <t>MARLBOROUGH HOUSE, BASINGSTOKE RD, SPENCERS WOODS, READING RG7 1AG, BERKS, ENGLAND</t>
  </si>
  <si>
    <t>1466-5026</t>
  </si>
  <si>
    <t>INT J SYST EVOL MICR</t>
  </si>
  <si>
    <t>Int. J. Syst. Evol. Microbiol.</t>
  </si>
  <si>
    <t>10.1099/ijs.0.64131-0</t>
  </si>
  <si>
    <t>079OA</t>
  </si>
  <si>
    <t>WOS:000240185200006</t>
  </si>
  <si>
    <t>Gray, R; Canfield, P; Rogers, T</t>
  </si>
  <si>
    <t>Gray, Rachael; Canfield, Paul; Rogers, Tracey</t>
  </si>
  <si>
    <t>Histology of selected tissues of the leopard seal and implications for functional adaptations to an aquatic lifestyle</t>
  </si>
  <si>
    <t>JOURNAL OF ANATOMY</t>
  </si>
  <si>
    <t>Antarctic; Hydrurga leptonyx; marine mammal; microscopic anatomy; phocid</t>
  </si>
  <si>
    <t>FINE-STRUCTURAL OBSERVATIONS; SOUTHERN ELEPHANT SEAL; WEDDELL SEAL; LEPTONYCHOTES-WEDDELLI; ANTARCTIC SEALS; PHOCA-VITULINA; HEMOGLOBIN CONCENTRATIONS; LOBODON-CARCINOPHAGUS; GAS TENSIONS; ANATOMY</t>
  </si>
  <si>
    <t>The microscopic anatomy of the cardio-respiratory system, digestive system, kidney, lymphatic system and integument was investigated in the leopard seal, Hydrurga leptonyx, by examining histological sections of tissues collected from leopard seals in Antarctica and New South Wales, Australia. The majority of the tissues had similar histological features to those described in terrestrial mammals and other pinniped species, particularly phocid seals. Differences noted included readily identifiable Purkinje cells within the endocardium, muscular rather than cartilaginous reinforcement of the smaller airways, a single capillary layer within the alveolar septa, limited and variable keratinization of the oesophageal epithelium, few lymphoid follicles within the lamina propria of the gastrointestinal tract, and an absence of a sporta perimedullaris musculosa described in the kidney of cetaceans and some pinniped species. Adaptations of the lung, spleen and integument, similar to those described in other pinnipeds, including reinforcement of the pulmonary terminal airways, prominent pulmonary interlobular septa, ample smooth muscle in the capsule and trabeculae of the spleen, increased thickness of the epidermis, well-developed dermal sebaceous glands, and a thick blubber layer, appear to confer upon the leopard seal advantages related to its aquatic lifestyle.</t>
  </si>
  <si>
    <t>Univ Sydney, Fac Vet Sci, Sydney, NSW 2006, Australia; Australian Marine Mammal Res Ctr, Mosman, NSW 2088, Australia</t>
  </si>
  <si>
    <t>University of Sydney</t>
  </si>
  <si>
    <t>Gray, R (corresponding author), Univ Sydney, Fac Vet Sci, JD Stewart Bldg-BO1, Sydney, NSW 2006, Australia.</t>
  </si>
  <si>
    <t>rgray@vetsci.usyd.edu.au</t>
  </si>
  <si>
    <t>Rogers, Tracey L/C-3419-2008; Canfield, Paul C/H-2698-2014</t>
  </si>
  <si>
    <t>Rogers, Tracey/0000-0002-7141-4177</t>
  </si>
  <si>
    <t>BLACKWELL PUBLISHING</t>
  </si>
  <si>
    <t>9600 GARSINGTON RD, OXFORD OX4 2DQ, OXON, ENGLAND</t>
  </si>
  <si>
    <t>0021-8782</t>
  </si>
  <si>
    <t>J ANAT</t>
  </si>
  <si>
    <t>J. Anat.</t>
  </si>
  <si>
    <t>10.1111/j.1469-7580.2006.00591.x</t>
  </si>
  <si>
    <t>Anatomy &amp; Morphology</t>
  </si>
  <si>
    <t>067WV</t>
  </si>
  <si>
    <t>WOS:000239334200005</t>
  </si>
  <si>
    <t>Massom, RA; Stammerjohn, SE; Smith, RC; Pook, MJ; Iannuzzi, RA; Adams, N; Martinson, DG; Vernet, M; Fraser, WR; Quetin, LB; Ross, RM; Massom, Y; Krouse, HR</t>
  </si>
  <si>
    <t>Massom, Robert A.; Stammerjohn, Sharon E.; Smith, Raymond C.; Pook, Michael J.; Iannuzzi, Richard A.; Adams, Neil; Martinson, Douglas G.; Vernet, Maria; Fraser, William R.; Quetin, Langdon B.; Ross, Robin M.; Massom, Yuko; Krouse, H. Roy</t>
  </si>
  <si>
    <t>Extreme anomalous atmospheric circulation in the West Antarctic Peninsula region in Austral Spring and Summer 2001/02, and its profound impact on sea ice and biota</t>
  </si>
  <si>
    <t>JOURNAL OF CLIMATE</t>
  </si>
  <si>
    <t>NINO-SOUTHERN OSCILLATION; KRILL EUPHAUSIA-SUPERBA; MARGUERITE BAY; CLIMATE-CHANGE; EXTRATROPICAL CIRCULATION; SEMIANNUAL OSCILLATION; THICKNESS DISTRIBUTION; SPATIAL COHERENCE; CIRCUMPOLAR WAVE; SURFACE PRESSURE</t>
  </si>
  <si>
    <t>Exceptional sea ice conditions occurred in the West Antarctic Peninsula (WAP) region from September 2001 to February 2002, resulting from a strongly positive atmospheric pressure anomaly in the South Atlantic coupled with strong negative anomalies in the Bellingshausen - Amundsen and southwest Weddell Seas. This created a strong and persistent north-northwesterly flow of mild and moist air across the WAP. In situ, satellite, and NCEP - NCAR Reanalysis (NNR) data are used to examine the profound and complex impact on regional sea ice, oceanography, and biota. Extensive sea ice melt, leading to an ocean mixed layer freshening and widespread ice surface flooding, snow - ice formation, and phytoplankton growth, coincided with extreme ice deformation and dynamic thickening. Sea ice dynamics were crucial to the development of an unusually early and rapid ( short) retreat season ( negative ice extent anomaly). Strong winds with a dominant northerly component created an unusually compact marginal ice zone and a major increase in ice thickness by deformation and over-rafting. This led to the atypical persistence of highly compact coastal ice through summer. Ecological effects were both positive and negative, the latter including an impact on the growth rate of larval Antarctic krill and the largest recorded between-season breeding population decrease and lowest reproductive success in a 30-yr Adelie penguin demographic time series. The unusual sea ice and snow cover conditions also contributed to the formation of a major phytoplankton bloom. Unexpectedly, the initial bloom occurred within compact sea ice and could not be detected in Sea-Viewing Wide Field-of-View Sensor (SeaWiFS) ocean color data. This analysis demonstrates that sea ice extent alone is an inadequate descriptor of the regional sea ice state/conditions, from both a climatic and ecological perspective; further information is required on thickness and dynamics/deformation.</t>
  </si>
  <si>
    <t>Univ Tasmania, Antarctic Climate &amp; Ecosyst Cooperat Res Ctr, Hobart, Tas 7001, Australia; Univ Tasmania, Dept Environm &amp; Heritage, Australian Antarctic Div, Hobart, Tas 7001, Australia; Columbia Univ, Lamont Doherty Earth Observ, Palisades, NY USA; Univ Calif Santa Barbara, Dept Geog, Santa Barbara, CA 93106 USA; Univ Calif Santa Barbara, ICESS, Santa Barbara, CA 93106 USA; CSIRO, Div Marine &amp; Atmospher Res, Hobart, Tas, Australia; Univ Tasmania, Australian Bur Meteorol, Hobart, Tas, Australia; Univ Calif San Diego, Scripps Inst Oceanog, Integrat Oceanog Div, La Jolla, CA 92093 USA; Polar Oceans Res Grp, Sheridan, MT USA; Univ Calif Santa Barbara, Inst Marine Sci, Santa Barbara, CA 93106 USA; Natl Oceans Off, Hobart, Tas, Australia; Univ Calgary, Dept Phys &amp; Astron, Calgary, AB T2N 1N4, Canada</t>
  </si>
  <si>
    <t>Antarctic Climate &amp; Ecosystems Cooperative Research Centre (ACE CRC); University of Tasmania; Australian Antarctic Division; University of Tasmania; Columbia University; University of California System; University of California Santa Barbara; University of California System; University of California Santa Barbara; Commonwealth Scientific &amp; Industrial Research Organisation (CSIRO); University of Tasmania; Bureau of Meteorology - Australia; University of California System; University of California San Diego; Scripps Institution of Oceanography; University of California System; University of California Santa Barbara; University of Calgary</t>
  </si>
  <si>
    <t>Massom, RA (corresponding author), Univ Tasmania, Antarctic Climate &amp; Ecosyst Cooperat Res Ctr, Private Bag 80, Hobart, Tas 7001, Australia.</t>
  </si>
  <si>
    <t>R.Massom@acecrc.org.au</t>
  </si>
  <si>
    <t>Pook, Michael J/A-3810-2012</t>
  </si>
  <si>
    <t>Massom, Robert/0000-0003-1533-5084; STAMMERJOHN, SHARON/0000-0002-1697-8244</t>
  </si>
  <si>
    <t>AMER METEOROLOGICAL SOC</t>
  </si>
  <si>
    <t>BOSTON</t>
  </si>
  <si>
    <t>45 BEACON ST, BOSTON, MA 02108-3693 USA</t>
  </si>
  <si>
    <t>0894-8755</t>
  </si>
  <si>
    <t>1520-0442</t>
  </si>
  <si>
    <t>J CLIMATE</t>
  </si>
  <si>
    <t>J. Clim.</t>
  </si>
  <si>
    <t>10.1175/JCLI3805.1</t>
  </si>
  <si>
    <t>Meteorology &amp; Atmospheric Sciences</t>
  </si>
  <si>
    <t>076FT</t>
  </si>
  <si>
    <t>Bronze, Green Published, Green Accepted</t>
  </si>
  <si>
    <t>WOS:000239943100004</t>
  </si>
  <si>
    <t>Jungclaus, JH; Keenlyside, N; Botzet, M; Haak, H; Luo, JJ; Latif, M; Marotzke, J; Mikolajewicz, U; Roeckner, E</t>
  </si>
  <si>
    <t>Jungclaus, J. H.; Keenlyside, N.; Botzet, M.; Haak, H.; Luo, J. -J.; Latif, M.; Marotzke, J.; Mikolajewicz, U.; Roeckner, E.</t>
  </si>
  <si>
    <t>Ocean circulation and tropical variability in the coupled model ECHAM5/MPI-OM</t>
  </si>
  <si>
    <t>SEA-SURFACE TEMPERATURE; ANTARCTIC CIRCUMPOLAR CURRENT; CLIMATE SYSTEM MODEL; GLOBAL OCEAN; EL-NINO; EQUATORIAL PACIFIC; HEAT TRANSPORTS; FRESH-WATER; ICE MOTION; ATMOSPHERE</t>
  </si>
  <si>
    <t>This paper describes the mean ocean circulation and the tropical variability simulated by the Max Planck Institute for Meteorology (MPI-M) coupled atmosphere-ocean general circulation model (AOGCM). Results are presented from a version of the coupled model that served as a prototype for the Intergovernmental Panel on Climate Change (IPCC) Fourth Assessment Report (AR4) simulations. The model does not require flux adjustment to maintain a stable climate. A control simulation with present-day greenhouse gases is analyzed, and the simulation of key oceanic features, such as sea surface temperatures (SSTs), large-scale circulation, meridional heat and freshwater transports, and sea ice are compared with observations. A parameterization that accounts for the effect of ocean currents on surface wind stress is implemented in the model. The largest impact of this parameterization is in the tropical Pacific, where the mean state is significantly improved: the strength of the trade winds and the associated equatorial upwelling weaken, and there is a reduction of the model's equatorial cold SST bias by more than 1 K. Equatorial SST variability also becomes more realistic. The strength of the variability is reduced by about 30% in the eastern equatorial Pacific and the extension of SST variability into the warm pool is significantly reduced. The dominant El Nino-Southern Oscillation (ENSO) period shifts from 3 to 4 yr. Without the parameterization an unrealistically strong westward propagation of SST anomalies is simulated. The reasons for the changes in variability are linked to changes in both the mean state and to a reduction in atmospheric sensitivity to SST changes and oceanic sensitivity to wind anomalies.</t>
  </si>
  <si>
    <t>Max Planck Inst Meteorol, D-20146 Hamburg, Germany; Leibniz Inst Meereswissensch, Kiel, Germany; Frontier Res Syst Global Change, Yokohama, Kanagawa, Japan</t>
  </si>
  <si>
    <t>Max Planck Society; Helmholtz Association; GEOMAR Helmholtz Center for Ocean Research Kiel; Japan Agency for Marine-Earth Science &amp; Technology (JAMSTEC)</t>
  </si>
  <si>
    <t>Jungclaus, JH (corresponding author), Max Planck Inst Meteorol, Bundesstr 53, D-20146 Hamburg, Germany.</t>
  </si>
  <si>
    <t>johann.jungclaus@zmaw.de</t>
  </si>
  <si>
    <t>Luo, Jing-Jia/B-2481-2008; Keenlyside, Noel S/E-8303-2013; Luo, Jing-Jia/T-9612-2019; Latif, Mojib/C-2428-2016</t>
  </si>
  <si>
    <t>Luo, Jing-Jia/0000-0003-2181-0638; Keenlyside, Noel S/0000-0002-8708-6868; Luo, Jing-Jia/0000-0003-2181-0638; Latif, Mojib/0000-0003-1079-5604</t>
  </si>
  <si>
    <t>10.1175/JCLI3827.1</t>
  </si>
  <si>
    <t>080DT</t>
  </si>
  <si>
    <t>Green Published, Green Accepted</t>
  </si>
  <si>
    <t>WOS:000240228000011</t>
  </si>
  <si>
    <t>Stark, S; Wood, RA; Banks, HT</t>
  </si>
  <si>
    <t>Stark, Sheila; Wood, Richard A.; Banks, Helene T.</t>
  </si>
  <si>
    <t>Reevaluating the causes of observed changes in Indian Ocean water masses</t>
  </si>
  <si>
    <t>COUPLED CLIMATE MODEL; DECADAL CHANGES; ANTARCTIC MODE; PACIFIC; TEMPERATURE; VARIABILITY; TRANSPORTS; SECTION; RENEWAL</t>
  </si>
  <si>
    <t>The consistency between observed changes in Subantarctic Mode Water (SAMW) properties at 32 degrees S in the Indian Ocean and model simulations is explored using the Third Hadley Centre Coupled Ocean Atmosphere GCM (HadCM3). Hydrographic data collected in 2002 show that the water mass is warmer and saltier on isopycnals than in 1987, in contrast to the isopycnal freshening observed between 1962 and 1987. The response of HadCM3 under a range of forcing scenarios is explored and the observed freshening is only seen in experiments that include greenhouse gas forcing; however, there is no subsequent return to more saline conditions in 2002. The response of the model to greenhouse gas forcing is dominated by a persistent freshening trend, the simulated water mass variability agrees well with that suggested by the limited observations. Comparing model isopycnal changes from the forced experiments with a control run shows that the changes from the 1960s to 2002 are best explained by internal variability. This is in contrast to earlier work, which attributed the observed isopycnal freshening to anthropogenic forcing. Although the model shows that at present an anthropogenic climate change signal is not detectable in SAMW, the model water mass freshens on isopycnals during the twenty-first century under increased greenhouse gas forcing. This is consistent with recent heat content observations, which suggest that the salting is unlikely to persist. In HadCM3, this freshening is due to an increasing surface heat flux and Ekman heat and freshwater flux into the water mass formation region. This paper emphasizes the importance of higher-frequency observations of SAMW if detection and attribution statements are to be made.</t>
  </si>
  <si>
    <t>Hadley Ctr Climate Predict &amp; Res, Met Off, Exeter EX1 3PB, Devon, England</t>
  </si>
  <si>
    <t>Met Office - UK; Hadley Centre</t>
  </si>
  <si>
    <t>Stark, S (corresponding author), Hadley Ctr Climate Predict &amp; Res, Met Off, Fitzroy Rd, Exeter EX1 3PB, Devon, England.</t>
  </si>
  <si>
    <t>sheila.stark@metoffice.gov.uk</t>
  </si>
  <si>
    <t>Wood, Richard/HKW-7781-2023</t>
  </si>
  <si>
    <t>Hewitt, Helene/0000-0001-7432-6001</t>
  </si>
  <si>
    <t>45 BEACON ST, BOSTON, MA 02108-3693, UNITED STATES</t>
  </si>
  <si>
    <t>10.1175/JCLI3845.1</t>
  </si>
  <si>
    <t>hybrid</t>
  </si>
  <si>
    <t>WOS:000240228000018</t>
  </si>
  <si>
    <t>Merculhao, LP; Mohan, R; Murty, VSN; Guptha, MVS; Sinha, DK</t>
  </si>
  <si>
    <t>Merculhao, Lina P.; Mohan, Rahul; Murty, V. S. N.; Guptha, M. V. S.; Sinha, D. K.</t>
  </si>
  <si>
    <t>Coccolithophores from the central Arabian Sea: Sediment trap results</t>
  </si>
  <si>
    <t>JOURNAL OF EARTH SYSTEM SCIENCE</t>
  </si>
  <si>
    <t>coccolithophores; central Arabian Sea; sediment trap; monsoon; upwelling and dissolution</t>
  </si>
  <si>
    <t>NORTHWESTERN INDIAN-OCEAN; LIVING COCCOLITHOPHORES; PRIMARY PRODUCTIVITY; SURFACE SEDIMENTS; UPWELLED WATERS; ATLANTIC OCEAN; US JGOFS; MONSOON; FLUXES; NORTH</t>
  </si>
  <si>
    <t>Sediment trap samples collected from a depth of 1018 m in the Central Arabian Sea Trap (CAST) at 14 degrees 28.2'N, 64 degrees 35.8'E were analyzed for temporal variation of coccolithophore fluxes from October 1993 to August 1994. Out of the twenty species of coccolithophores encountered, Gephyrocapsa oceanica, Erniliania huxleyi, Umbilicosphaera sibogae and Urnbellosphaera, irregularis were the most abundant. The total coccolithophore fluxes ranged from 28.5 x 10(6) m(-2) d(-1) to 50.3 x 10(6)m(-2)d(-1) showing seasonality with higher fluxes during the northeast (NE) monsoon and lower fluxes durin- the spring intermonsoon. The higher fluxes were attributed to the enhancement of primary production in the central Arabian Sea due to southward extent of nutrients from the northeast Arabian Sea by the prevailing surface currents. Similarly, the occurrences of relatively lower coccolithophore fluxes during the spring intermonsoon and southwest (SW) monsoon were attributed to the low nutrients in the warm, shallow surface mixed layer and downwelling to the south of Findlater Jet respectively in the central Arabian Sea. Some of the coccolithophore species such as E. huxleyi, G. oceanica, Calcidiscus leptoporus and Umbellosphaera tenuis showed signs of dissolution.</t>
  </si>
  <si>
    <t>Natl Inst Oceanog, Panaji 403004, Goa, India; Natl Ctr Antarctic &amp; Ocean Res, Vasco Da Gama 403804, Goa, India; Banaras Hindu Univ, Dept Geol, Varanasi 221005, Uttar Pradesh, India</t>
  </si>
  <si>
    <t>Council of Scientific &amp; Industrial Research (CSIR) - India; CSIR - National Institute of Oceanography (NIO); Ministry of Earth Sciences (MoES) - India; National Centre for Polar and Ocean Research (NCPOR); Banaras Hindu University (BHU)</t>
  </si>
  <si>
    <t>Merculhao, LP (corresponding author), Natl Inst Oceanog, Panaji 403004, Goa, India.</t>
  </si>
  <si>
    <t>mlina@rediffmail.com</t>
  </si>
  <si>
    <t>INDIAN ACAD SCIENCES</t>
  </si>
  <si>
    <t>BANGALORE</t>
  </si>
  <si>
    <t>C V RAMAN AVENUE, SADASHIVANAGAR, P B #8005, BANGALORE 560 080, INDIA</t>
  </si>
  <si>
    <t>0253-4126</t>
  </si>
  <si>
    <t>0973-774X</t>
  </si>
  <si>
    <t>J EARTH SYST SCI</t>
  </si>
  <si>
    <t>J. Earth Syst. Sci.</t>
  </si>
  <si>
    <t>Geosciences, Multidisciplinary; Multidisciplinary Sciences</t>
  </si>
  <si>
    <t>Geology; Science &amp; Technology - Other Topics</t>
  </si>
  <si>
    <t>076RJ</t>
  </si>
  <si>
    <t>WOS:000239975100004</t>
  </si>
  <si>
    <t>Mernild, SH; Liston, GE; Hasholt, B; Knudsen, NT</t>
  </si>
  <si>
    <t>Mernild, Sebastian H.; Liston, Glen E.; Hasholt, Bent; Knudsen, Niels T.</t>
  </si>
  <si>
    <t>Snow distribution and melt modeling for Mittivakkat Glacier, Ammassalik Island, southeast Greenland</t>
  </si>
  <si>
    <t>JOURNAL OF HYDROMETEOROLOGY</t>
  </si>
  <si>
    <t>ANTARCTIC ICE-SHEET; BLOWING-SNOW; COMPLEX TERRAIN; TRANSPORT MODEL; PRECIPITATION; MOISTURE; FLUXES; ENERGY; WIND; REDISTRIBUTION</t>
  </si>
  <si>
    <t>A physically based snow-evolution modeling system (SnowModel) that includes four submodels-the Micrometeorological Model (MicroMet), EnBal, SnowPack, and SnowTran-3D-was used to simulate five full-year evolutions of snow accumulation, distribution, sublimation, and surface melt on the Mittivakkat Glacier, in southeast Greenland. Model modifications were implemented and used 1) to adjust underestimated observed meteorological station solid precipitation until the model matched the observed Mittivakkat Glacier winter mass balance, and 2) to simulate glacier-ice melt after the winter snow accumulation had ablated. Meteorological observations from two meteorological stations were used as model inputs, and glaciological mass balance observations were used for model calibration and testing of solid precipitation observations. The modeled end-of-winter snow-water equivalent (w. eq.) accumulation increased with elevation from 200 to 700 m above sea level (ASL) in response to both elevation and topographic influences, and the simulated end-of-summer location of the glacier equilibrium line altitude was confirmed by glaciological observations and digital images. The modeled test-period-averaged annual mass balance was 150 mm w. eq. yr(-1), or similar to 15%, less than the observed. Approximately 12% of the precipitation was returned to the atmosphere by sublimation. Glacier-averaged mean annual modeled surface melt ranged from 1272 to 2221 mm w. eq. yr(-1), of which snowmelt contributed from 610 to 1040 mm w. eq. yr(-1). The surface-melt period started between mid-May and the beginning of June, and lasted until mid-September; there were as many as 120 melt days at the glacier terminus. The model simulated a Mittivakkat Glacier recession averaging -616 mm w. eq. yr(-1), almost equal to the observed -600 mm w. eq. yr(-1).</t>
  </si>
  <si>
    <t>Univ Copenhagen, Inst Geog, DK-1350 Copenhagen K, Denmark; Colorado State Univ, Dept Atmospher Sci, Ft Collins, CO 80523 USA; Univ Copenhagen, Inst Geog, DK-1168 Copenhagen, Denmark; Univ Aarhus, Dept Earth Sci, Aarhus, Denmark</t>
  </si>
  <si>
    <t>University of Copenhagen; Colorado State University; University of Copenhagen; Aarhus University</t>
  </si>
  <si>
    <t>Mernild, SH (corresponding author), Univ Copenhagen, Inst Geog, Oster Voldgade 10, DK-1350 Copenhagen K, Denmark.</t>
  </si>
  <si>
    <t>sm@georgr.ku.dk</t>
  </si>
  <si>
    <t>Knudsen, Niels Tvis/A-2461-2014; Mernild, Sebastian H./M-5516-2013</t>
  </si>
  <si>
    <t>Mernild, Sebastian H./0000-0003-0797-3975</t>
  </si>
  <si>
    <t>1525-755X</t>
  </si>
  <si>
    <t>1525-7541</t>
  </si>
  <si>
    <t>J HYDROMETEOROL</t>
  </si>
  <si>
    <t>J. Hydrometeorol.</t>
  </si>
  <si>
    <t>10.1175/JHM522.1</t>
  </si>
  <si>
    <t>086DO</t>
  </si>
  <si>
    <t>WOS:000240653900016</t>
  </si>
  <si>
    <t>Kan, GF; Miao, JL; Shi, CJ; Li, GY</t>
  </si>
  <si>
    <t>Kan, Guang-Feng; Miao, Jin-Lai; Shi, Cui-Juan; Li, Guang-You</t>
  </si>
  <si>
    <t>Proteomic alterations of antarctic ice microalga Chlamydomonas sp under low-temperature stress</t>
  </si>
  <si>
    <t>JOURNAL OF INTEGRATIVE PLANT BIOLOGY</t>
  </si>
  <si>
    <t>Antarctic ice microalga; Chlamydomonas sp.; two-dimensional polyacrylamide gel electrophoresis; differential expression protein; low temperature stress; matrix-assisted laser desorption/ionization time-of-flight mass spectrometry (MALDI-TOF-MS)</t>
  </si>
  <si>
    <t>2-DIMENSIONAL GEL-ELECTROPHORESIS; UNICELLULAR ALGAE; SEA-ICE; PROTEINS; SURFACE</t>
  </si>
  <si>
    <t>Antarctic ice microalga can survive and thrive in cold channels or pores in the Antarctic ice layer. In order to understand the adaptive mechanisms to low temperature, in the present study we compared two-dimensional polyacrylamide gel electrophoresis (2-DE) profiles of normal and low temperature-stressed Antarctic ice microalga Chlamydomonas sp. cells. In addition, new protein spots induced by low temperature were identified with peptide mass fingerprinting based on matrix-assisted laser desorption/ionization time-of-flight mass spectrometry (MALDI-TOF-MS) and database searching. Well-resolved and reproducible 2-DE patterns of both normal and low temperature-stressed cells were acquired. A total of 626 spots was detected in control cells and 652 spots were detected in the corresponding low temperature-stressed cells. A total of 598 spots was matched between normal and stressed cells. Two newly synthesized proteins (a and b) in low temperature-stressed cells were characterized. Protein spot A (53 kDa, pI 6.0) was similar to isopropylmalate/homocitrate/citramalate synthases, which act in the transport and metabolism of amino acids. Protein spot b (25 kDa, pI 8.0) was related to glutathione S-transferase, which functions as a scavenger of active oxygen, free radicals, and noxious metabolites. The present study is valuable for the application of ice microalgae, establishing an ice microalga Chlamydomonas sp. proteome database, and screening molecular biomarkers for further studies.</t>
  </si>
  <si>
    <t>Harbin Inst Technol, Sch Ocean, Weihai 264209, Peoples R China; State Ocean Adm, Key Lab Marine Bioact Subst, Qingdao 266061, Peoples R China</t>
  </si>
  <si>
    <t>Harbin Institute of Technology</t>
  </si>
  <si>
    <t>Kan, GF (corresponding author), Harbin Inst Technol, Sch Ocean, Weihai 264209, Peoples R China.</t>
  </si>
  <si>
    <t>kanguangfeng@163.com</t>
  </si>
  <si>
    <t>Liu, Liu/JXM-8208-2024</t>
  </si>
  <si>
    <t>1672-9072</t>
  </si>
  <si>
    <t>J INTEGR PLANT BIOL</t>
  </si>
  <si>
    <t>J. Integr. Plant Biol.</t>
  </si>
  <si>
    <t>10.1111/j.1744-7909.2006.00255.x</t>
  </si>
  <si>
    <t>Biochemistry &amp; Molecular Biology; Plant Sciences</t>
  </si>
  <si>
    <t>070GW</t>
  </si>
  <si>
    <t>WOS:000239510200012</t>
  </si>
  <si>
    <t>Barbini, R; Cabrini, M; Colao, F; Fantoni, R; Fiorani, L; Umani, SF; Kolodikova, NV; Lazzara, L; Palucci, A; Parmiggiani, F</t>
  </si>
  <si>
    <t>Barbini, R.; Cabrini, M.; Colao, F.; Fantoni, R.; Fiorani, L.; Umani, S. Fonda; Kolodikova, N. V.; Lazzara, L.; Palucci, A.; Parmiggiani, F.</t>
  </si>
  <si>
    <t>Biogeochemical properties of the Ross Sea retrieved from in situ and remote optoelectronics devices during the Austral summer 1997-98</t>
  </si>
  <si>
    <t>JOURNAL OF OPTOELECTRONICS AND ADVANCED MATERIALS</t>
  </si>
  <si>
    <t>lamp spectrofluorometer; lidar fluorosensor; satellite radiometer; phytoplankton; Antarctica</t>
  </si>
  <si>
    <t>ZONE COLOR SCANNER; SOUTHERN-OCEAN; PHYTOPLANKTON BIOMASS; PRIMARY PRODUCTIVITY; SPATIAL-PATTERNS; DYNAMICS; FLUXES; CARBON; MICROPLANKTON; NANOPLANKTON</t>
  </si>
  <si>
    <t>The Southern Ocean and, in particular, the Ross Sea are among the more productive water bodies of the world ocean. The great impact of primary production on the global carbon cycle and, consequently, on the future climate justifies the large efforts devoted to its accurate assessment. In this paper, we present the results obtained with in situ optical methods (phytoplankton composition and pigment recognition), an active remote sensor (lidar fluorosensor) and passive remote sensors (satellite radiometers), in the framework of the 13(th) Italian Antarctic Oceanographic Campaign (December 1997 January 1998). The synoptic picture gained by the integration of those different optoelectronics devices reveal interesting features of the phytoplankton blooms taking place in the Ross Sea during the Austral summer 1997-98. In particular, our primary production data are higher than previous estimates.</t>
  </si>
  <si>
    <t>ENEA, Sez Applicaz Laser, I-00044 Frascati, Italy; Lab Biol Marina, I-34010 Trieste, Italy; Tomsk State Univ Control Syst &amp; Radioelectron, Tomsk 634050, Russia; Univ Florence, Dipartimento Biol Anim &amp; Genet, I-50125 Florence, Italy; CNR, Ist Sci Atmosfera &amp; Clima, I-40129 Bologna, Italy</t>
  </si>
  <si>
    <t>Italian National Agency New Technical Energy &amp; Sustainable Economics Development; Tomsk State University of Control Systems &amp; Radioelectronics; University of Florence; Consiglio Nazionale delle Ricerche (CNR); Istituto di Scienze dell'Atmosfera e del Clima (ISAC-CNR)</t>
  </si>
  <si>
    <t>Fiorani, L (corresponding author), ENEA, Sez Applicaz Laser, Via Fermi 45, I-00044 Frascati, Italy.</t>
  </si>
  <si>
    <t>fiorani@frascati.enea.it</t>
  </si>
  <si>
    <t>Fiorani, Luca/AAT-8943-2021; Fonda, Serena/H-6753-2012; Lazzara, Luigi Carlo/C-6838-2012</t>
  </si>
  <si>
    <t>Lazzara, Luigi Carlo/0000-0002-1351-9683; Fiorani, Luca/0000-0001-9696-3124; PALUCCI, ANTONIO/0009-0006-9442-1544</t>
  </si>
  <si>
    <t>NATL INST OPTOELECTRONICS</t>
  </si>
  <si>
    <t>BUCHAREST-MAGURELE</t>
  </si>
  <si>
    <t>1 ATOMISTILOR ST, PO BOX MG-5, BUCHAREST-MAGURELE 76900, ROMANIA</t>
  </si>
  <si>
    <t>1454-4164</t>
  </si>
  <si>
    <t>1841-7132</t>
  </si>
  <si>
    <t>J OPTOELECTRON ADV M</t>
  </si>
  <si>
    <t>J. Optoelectron. Adv. Mater.</t>
  </si>
  <si>
    <t>Materials Science, Multidisciplinary; Optics; Physics, Applied</t>
  </si>
  <si>
    <t>Materials Science; Optics; Physics</t>
  </si>
  <si>
    <t>075HD</t>
  </si>
  <si>
    <t>WOS:000239874400048</t>
  </si>
  <si>
    <t>Nevitt, G</t>
  </si>
  <si>
    <t>Nevitt, G.</t>
  </si>
  <si>
    <t>The odor world of sub-Antarctic Procellariiform seabirds</t>
  </si>
  <si>
    <t>JOURNAL OF ORNITHOLOGY</t>
  </si>
  <si>
    <t>Univ Calif Davis, NPB, Davis, CA 95616 USA</t>
  </si>
  <si>
    <t>University of California System; University of California Davis</t>
  </si>
  <si>
    <t>ganevitt@ucdavis.edu</t>
  </si>
  <si>
    <t>SPRINGER</t>
  </si>
  <si>
    <t>233 SPRING STREET, NEW YORK, NY 10013 USA</t>
  </si>
  <si>
    <t>0021-8375</t>
  </si>
  <si>
    <t>J ORNITHOL</t>
  </si>
  <si>
    <t>J. Ornithol.</t>
  </si>
  <si>
    <t>Ornithology</t>
  </si>
  <si>
    <t>Zoology</t>
  </si>
  <si>
    <t>081JF</t>
  </si>
  <si>
    <t>WOS:000240313200019</t>
  </si>
  <si>
    <t>Kabat, A; Phillips, R; Croxall, J; Woakes, A; Butler, P</t>
  </si>
  <si>
    <t>Kabat, A.; Phillips, R.; Croxall, J.; Woakes, A.; Butler, P.</t>
  </si>
  <si>
    <t>Parental foraging proficiency: The key to successful fledging in the Black-browed Albatross?</t>
  </si>
  <si>
    <t>Univ Birmingham, Behav &amp; Ecol Physiol Res Grp, Birmingham B15 2TT, W Midlands, England; British Antarctic Survey, Biol Sci Div, Nat Environm Res Council, Cambridge CB3 0ET, England</t>
  </si>
  <si>
    <t>University of Birmingham; UK Research &amp; Innovation (UKRI); Natural Environment Research Council (NERC); NERC British Antarctic Survey</t>
  </si>
  <si>
    <t>a.p.kabat@bham.ac.uk; raphil@bas.ac.uk; JPCR@bas.ac.uk; A.J.Woakes@bham.ac.uk; P.J.BUTLER@bham.ac.uk</t>
  </si>
  <si>
    <t>SPRINGER HEIDELBERG</t>
  </si>
  <si>
    <t>HEIDELBERG</t>
  </si>
  <si>
    <t>TIERGARTENSTRASSE 17, D-69121 HEIDELBERG, GERMANY</t>
  </si>
  <si>
    <t>1439-0361</t>
  </si>
  <si>
    <t>WOS:000240313200032</t>
  </si>
  <si>
    <t>Barbraud, C; Weimerskirch, H</t>
  </si>
  <si>
    <t>Barbraud, C.; Weimerskirch, H.</t>
  </si>
  <si>
    <t>Antarctic avian phenology and climate change</t>
  </si>
  <si>
    <t>CNRS, Ctr Etud Biol Chize, F-79360 Bois Guillaume, France</t>
  </si>
  <si>
    <t>Centre National de la Recherche Scientifique (CNRS)</t>
  </si>
  <si>
    <t>barbraud@cebc.cnrs.fr; henriw@cebc.cnrs.fr</t>
  </si>
  <si>
    <t>Weimerskirch, Henri/K-7306-2019; Weimerskirch, Henri/F-5562-2013; Barbraud, Christophe/A-5870-2012</t>
  </si>
  <si>
    <t>Weimerskirch, Henri/0000-0002-0457-586X; Barbraud, Christophe/0000-0003-0146-212X</t>
  </si>
  <si>
    <t>WOS:000240313200172</t>
  </si>
  <si>
    <t>Lebedeva, N</t>
  </si>
  <si>
    <t>Lebedeva, N.</t>
  </si>
  <si>
    <t>Birds as factor in the biodiversity and biogeography of soil microfauna in Arctic and Antarctic regions</t>
  </si>
  <si>
    <t>Russian Acad Sci, So Sci Ctr, Dept Zool, Rostov Na Donu 344006, Russia</t>
  </si>
  <si>
    <t>Southern Scientific Center, Russian Academy of Sciences; Russian Academy of Sciences</t>
  </si>
  <si>
    <t>lebedeva@mmbi.krinc.ru</t>
  </si>
  <si>
    <t>Lebedeva, Natalia V/A-9138-2012</t>
  </si>
  <si>
    <t>Lebedeva, Natalia V/0000-0003-3545-753X</t>
  </si>
  <si>
    <t>WOS:000240313201177</t>
  </si>
  <si>
    <t>Malzof, SL; Quintana, RD</t>
  </si>
  <si>
    <t>Malzof, S. L.; Quintana, R. D.</t>
  </si>
  <si>
    <t>Diets of the South Polar Skua and the Brown Skua at Cierva Point, Antarctic Peninsula</t>
  </si>
  <si>
    <t>Univ Buenos Aires, FCEyN, Dept Ecol Genet &amp; Evolut, Lab Reg Ecol, RA-1428 Buenos Aires, DF, Argentina</t>
  </si>
  <si>
    <t>laurasm@bg.fcen.uba.ar; rubenq@ege.fcen.uba.ar</t>
  </si>
  <si>
    <t>WOS:000240313201202</t>
  </si>
  <si>
    <t>Pfeiffer, S; Peter, HU</t>
  </si>
  <si>
    <t>Pfeiffer, S.; Peter, H-U</t>
  </si>
  <si>
    <t>Effects of human activities on Southern Giant Petrels and skuas in the Antarctic</t>
  </si>
  <si>
    <t>Univ Jena, Inst Ecol, D-07743 Jena, Germany</t>
  </si>
  <si>
    <t>Friedrich Schiller University of Jena</t>
  </si>
  <si>
    <t>Simone.Pfeiffer@uni-jena.de</t>
  </si>
  <si>
    <t>WOS:000240313201280</t>
  </si>
  <si>
    <t>Ritz, MS; Phillips, R; Ryan, P; Peter, HU</t>
  </si>
  <si>
    <t>Ritz, M. S.; Phillips, R.; Ryan, P.; Peter, H-U</t>
  </si>
  <si>
    <t>Phylogeography of the great southern skuas (Catharacta spec.)</t>
  </si>
  <si>
    <t>Univ Jena, Inst Ecol, D-07743 Jena, Germany; British Antarctic Survey, Cambridge CB3 0ET, England; Univ Cape Town, DST NRF, Ctr Excellence, Percy Fitzpatrick Inst African Ornithol, ZA-7701 Rondebosch, South Africa</t>
  </si>
  <si>
    <t>Friedrich Schiller University of Jena; UK Research &amp; Innovation (UKRI); Natural Environment Research Council (NERC); NERC British Antarctic Survey; National Research Foundation - South Africa; University of Cape Town</t>
  </si>
  <si>
    <t>markus.ritz@uni-jena.de; RAPHIL@bas.ac.uk; pryan@botzoo.uct.ac.za; Hans-Ulrich.Peter@uni-jena.de</t>
  </si>
  <si>
    <t>Ritz, Markus S./A-5321-2008</t>
  </si>
  <si>
    <t>WOS:000240313201312</t>
  </si>
  <si>
    <t>Santoso, A; England, MH; Hirst, AC</t>
  </si>
  <si>
    <t>Santoso, Agus; England, Matthew H.; Hirst, Anthony C.</t>
  </si>
  <si>
    <t>Circumpolar Deep Water circulation and variability in a coupled climate model</t>
  </si>
  <si>
    <t>JOURNAL OF PHYSICAL OCEANOGRAPHY</t>
  </si>
  <si>
    <t>BRAZIL-MALVINAS CONFLUENCE; SOUTH-PACIFIC OCEAN; EDDY-INDUCED ADVECTION; DYNAMIC SEA-ICE; NORTH-ATLANTIC; THERMOHALINE CIRCULATION; GENERAL-CIRCULATION; INDIAN-OCEAN; WESTERN-BOUNDARY; BOTTOM WATERS</t>
  </si>
  <si>
    <t>The natural variability of Circumpolar Deep Water (CDW) is analyzed using a long-term integration of a coupled climate model. The variability is decomposed using a standard EOF analysis into three separate modes accounting for 68% and 82% of the total variance in the upper and lower CDW layers, respectively. The first mode exhibits an interbasin-scale variability on multicentennial time scales, originating in the North Atlantic and flowing southward into the Southern Ocean via North Atlantic Deep Water (NADW). Salinity dipole anomalies appear to propagate around the Atlantic meridional overturning circulation on these time scales with the strengthening and weakening of NADW formation. The anomaly propagates northward from the midlatitude subsurface of the South Atlantic and sinks in the North Atlantic before flowing southward along the CDW isopycnal layers. This suggests an interhemispheric connection in the generation of the first CDW variability mode. The second mode shows a localized theta-S variability in the Brazil - Malvinas confluence zone on multidecadal to centennial time scales. Heat and salt budget analyses reveal that this variability is controlled by meridional advection driven by fluctuations in the strength of the Deep Western Boundary and the Malvinas Currents. The third mode suggests an Antarctic Intermediate Water source in the South Pacific contributing to variability in upper CDW. It is further found that NADW formation is mainly buoyancy driven on the time scales resolved, with only a weak connection with Southern Hemisphere winds. On the other hand, Southern Hemisphere winds have a more direct influence on the rate of NADW outflow into the Southern Ocean. The model's spatial pattern of theta-S variability is consistent with the limited observational record in the Southern Hemisphere. However, some observations of decadal CDW theta-S changes are beyond that seen in the model in its unperturbed state.</t>
  </si>
  <si>
    <t>Univ New S Wales, Sch Math, Climate &amp; Environm Dynam Lab, Sydney, NSW 2052, Australia; CSIRO Marine &amp; Atmospher Res, Aspendale, Vic, Australia; Antarctic Climate &amp; Ecosyst Cooperat Res Ctr, Aspendale, Vic, Australia</t>
  </si>
  <si>
    <t>University of New South Wales Sydney; Commonwealth Scientific &amp; Industrial Research Organisation (CSIRO); Antarctic Climate &amp; Ecosystems Cooperative Research Centre (ACE CRC)</t>
  </si>
  <si>
    <t>Santoso, A (corresponding author), Univ New S Wales, Sch Math, Climate &amp; Environm Dynam Lab, Sydney, NSW 2052, Australia.</t>
  </si>
  <si>
    <t>a.santoso@unsw.edu.au</t>
  </si>
  <si>
    <t>England, Matthew/A-7539-2011; Santoso, Agus/P-1918-2019; Santoso, Agus/J-7350-2012; Hirst, Anthony/E-2756-2013; Hirst, Anthony/N-1041-2014</t>
  </si>
  <si>
    <t>England, Matthew/0000-0001-9696-2930; Santoso, Agus/0000-0001-7749-8124;</t>
  </si>
  <si>
    <t>0022-3670</t>
  </si>
  <si>
    <t>J PHYS OCEANOGR</t>
  </si>
  <si>
    <t>J. Phys. Oceanogr.</t>
  </si>
  <si>
    <t>10.1175/JPO2930.1</t>
  </si>
  <si>
    <t>Oceanography</t>
  </si>
  <si>
    <t>086LV</t>
  </si>
  <si>
    <t>WOS:000240675800003</t>
  </si>
  <si>
    <t>Hogg, AMC; Blundell, JR</t>
  </si>
  <si>
    <t>Hogg, Andrew McC.; Blundell, Jeffrey R.</t>
  </si>
  <si>
    <t>Interdecadal variability of the Southern Ocean</t>
  </si>
  <si>
    <t>ANTARCTIC CIRCUMPOLAR CURRENT; QUASI-GEOSTROPHIC MODEL; BETA-PLANE CHANNEL; WIND-DRIVEN; GENERAL-CIRCULATION; SATELLITE ALTIMETRY; DRAKE PASSAGE; MEAN FLOW; TURBULENCE; FREQUENCY</t>
  </si>
  <si>
    <t>The intrinsic variability of the Antarctic Circumpolar Current is investigated using an idealized wind-driven model. The model uses three quasigeostrophic layers, with steady wind stress forcing, and no diabatic effects. Despite the idealized nature of the model, the simulations display a robust mode of low-frequency variability in the flow. It is demonstrated that this variability is dependent upon the explicit simulation of the dynamics of mesoscale eddies. As such, the variability is sensitive to stratification, horizontal viscosity, bottom stress, and topography. The energetic balance of the variability is diagnosed, and a driving mechanism is proposed that involves positive feedback between the generation of eddies through baroclinic instability and the dynamics of the mean circulation.</t>
  </si>
  <si>
    <t>Australian Natl Univ, Res Sch Earth Sci, Canberra, ACT 0200, Australia; Natl Oceanog Ctr, Southampton, Hants, England</t>
  </si>
  <si>
    <t>Australian National University; NERC National Oceanography Centre</t>
  </si>
  <si>
    <t>Hogg, AMC (corresponding author), Australian Natl Univ, Res Sch Earth Sci, Canberra, ACT 0200, Australia.</t>
  </si>
  <si>
    <t>andy.hogg@anu.edu.au</t>
  </si>
  <si>
    <t>Hogg, Andy McC./A-7553-2011; Hogg, Andy/AAZ-8733-2021</t>
  </si>
  <si>
    <t>Hogg, Andy McC./0000-0001-5898-7635; Hogg, Andy/0000-0001-5898-7635</t>
  </si>
  <si>
    <t>1520-0485</t>
  </si>
  <si>
    <t>10.1175/JPO2934.1</t>
  </si>
  <si>
    <t>WOS:000240675800008</t>
  </si>
  <si>
    <t>Katsman, CA</t>
  </si>
  <si>
    <t>Katsman, Caroline A.</t>
  </si>
  <si>
    <t>Impacts of localized mixing and topography on the stationary abyssal circulation</t>
  </si>
  <si>
    <t>PLANETARY FLOW PATTERNS; ANTARCTIC BOTTOM WATER; MID-ATLANTIC RIDGE; WORLD OCEAN; BAROCLINIC STRUCTURE; ROUGH TOPOGRAPHY; MIDOCEAN RIDGE; SOUTHERN-OCEAN; BRAZIL BASIN; MODEL</t>
  </si>
  <si>
    <t>Stommel and coworkers calculated the stationary, geostrophic circulation in the abyssal ocean driven by prescribed sources ( representing convective downwelling sites) and sinks ( slow, widespread upwelling through the thermocline). The applied basin geometries were highly idealized with nearly uniform upwelling and gradual bottom slopes. In this paper, the classical Stommel - Arons theory for the abyssal circulation is extended by introducing pronounced bathymetry in the form of a midocean ridge and strongly enhanced upwelling in the vicinity of this ridge, modeled after direct observations of diapycnal mixing rates in the deep ocean. Locally enhanced upwelling over a midocean ridge drives a beta-plume circulation that is modified by topographic stretching. The dynamics of this abyssal circulation pattern are explained by analyzing the combined impacts of the upwelling pattern and the bathymetry on the stationary circulation, building on their well-known separate impacts. On the western flank of the ridge, the effects of topographic stretching and upwelling oppose, and the direction of the local flow depends on their relative size. In this paper, a simple theoretical estimate is derived that can predict the direction of the flow along the ridge based on the geometry of the basin and the upwelling region. Its applicability is demonstrated for both the idealized model configurations applied in this study and for more realistic model simulations.</t>
  </si>
  <si>
    <t>Royal Netherlands Meteorol Inst KNMI, Oceanog Res Dept, NL-3730 AE De Bilt, Netherlands</t>
  </si>
  <si>
    <t>Royal Netherlands Meteorological Institute</t>
  </si>
  <si>
    <t>Katsman, CA (corresponding author), Royal Netherlands Meteorol Inst KNMI, Oceanog Res Dept, POB 201, NL-3730 AE De Bilt, Netherlands.</t>
  </si>
  <si>
    <t>katsman@knmi.nl</t>
  </si>
  <si>
    <t>10.1175/JPO2925.1</t>
  </si>
  <si>
    <t>WOS:000240675800010</t>
  </si>
  <si>
    <t>Smith, RIL; Ochyra, R</t>
  </si>
  <si>
    <t>Smith, Ronald I. Lewis; Ochyra, Ryszard</t>
  </si>
  <si>
    <t>High altitude Antarctic soil propagule bank yields an exotic moss and potential colonist</t>
  </si>
  <si>
    <t>JOURNAL OF THE HATTORI BOTANICAL LABORATORY</t>
  </si>
  <si>
    <t>VICTORIA-LAND; DISPERSAL; POLLEN</t>
  </si>
  <si>
    <t>Soil samples from the summit of Coulman Island in northern Victoria Land, continental Antarctica (lat. 73 degrees 28'S, 169 degrees 45'E), were cultured and after nine weeks they have yielded sterile shoots of a funarialean moss. Its identity is discussed and, on the basis of the leaf shape, it is determined, with some reservation, as Entosthodon subnudus (Taylor) Fife, a species native to the Australia-New Zealand biogeographical province. This example provides further evidence of the existence of soil propagule banks, sometimes containing taxa not known in the flora of the Antarctic biome. Because of the severity of the polar climate and permanently frigid dry desert conditions, many such propagules may never succeed in growing in situ. The occurrence of E. subnudus represents the highest elevation (2930m) at which a viable plant propagule has been recorded in Antarctica.</t>
  </si>
  <si>
    <t>British Antarctic Survey, Nat Environm Res Council, Cambridge CB3 0ET, England; Ctr Antarct Plant Ecol &amp; Divers, Cambridge CB3 7QQ, England; Polish Acad Sci, Inst Bot, Lab Bryol, PL-31512 Krakow, Poland</t>
  </si>
  <si>
    <t>UK Research &amp; Innovation (UKRI); Natural Environment Research Council (NERC); NERC British Antarctic Survey; UK Research &amp; Innovation (UKRI); Natural Environment Research Council (NERC); NERC British Antarctic Survey; Polish Academy of Sciences</t>
  </si>
  <si>
    <t>Smith, RIL (corresponding author), British Antarctic Survey, Nat Environm Res Council, Madingley Rd, Cambridge CB3 0ET, England.</t>
  </si>
  <si>
    <t>CAPED@lewis-smith.wanadoo.co.uk; r.ochyra@ib-pan-krakow.pl</t>
  </si>
  <si>
    <t>Ochyra, Ryszard/0000-0002-2541-0722</t>
  </si>
  <si>
    <t>HATTORI BOTANICAL LABORATORY</t>
  </si>
  <si>
    <t>MIYAZAKI-KEN</t>
  </si>
  <si>
    <t>OBI, NICHINAN-SHI, MIYAZAKI-KEN, 889-2535, JAPAN</t>
  </si>
  <si>
    <t>0073-0912</t>
  </si>
  <si>
    <t>J HATTORI BOT LAB</t>
  </si>
  <si>
    <t>J. Hattori Bot. Lab.</t>
  </si>
  <si>
    <t>Plant Sciences</t>
  </si>
  <si>
    <t>083QQ</t>
  </si>
  <si>
    <t>WOS:000240473700022</t>
  </si>
  <si>
    <t>Stech, M; Pfeiffer, T; Frey, W</t>
  </si>
  <si>
    <t>Stech, Michael; Pfeiffer, Tanja; Frey, Wolfgang</t>
  </si>
  <si>
    <t>Molecular relationships and divergence of palaeoaustral Dicranoloma species (Dicranaceae, Bryopsida).: Studies in austral temperate rain forest bryophytes 31</t>
  </si>
  <si>
    <t>Dicranoloma; palaeoaustral species; molecular divergence; Dicranum; trnL(UAA); intron; ITS</t>
  </si>
  <si>
    <t>PHYLOGENETIC-RELATIONSHIPS; CRYPTIC SPECIATION; MOSSES; HEPATICOPHYTINA; MUSCI; CIRCUMSCRIPTION</t>
  </si>
  <si>
    <t>Phylogenetic analyses of plastid trnL(UAA) intron and nuclear ribosomal ITS1 and ITS2 sequences clearly separate the Southern Hemisphere Dicranoloma from the mainly Northern Hemisphere Dicranum. Both genera form monophyletic groups together with closely related satellite genera, Dicranoloma with Braunfelsia, and Dicranum with Orthodicranum/Paraleucobryum. Within Dicranoloma, the widespread species D. billarderi and D. robustum represent a closely related species pair in the molecular trees that is separated from clades of exclusively South American (D. capillare, D. chilense) and Australasian (D. dicarpum, D. diaphanoneuron, D. menziesii, D. plurisetum) species. Intraspecific sequence variation occurs in both D. billarderi and D. robustum, especially in the most variable ITS1. The geographic distribution of genotypes indicates recent or ongoing long-range dispersal of diaspores, which is consistent with the occurrence of both species on sub-Antarctic islands and their high capacity of spore dispersal. Patterns of genetic divergence in D., billarderi and D. robustum are markedly different from those observed in previously analyzed palaeoaustral bryophyte taxa, which are either scarcely differentiated in the geographically separated areas or show a clear molecular separation of populations or taxa in the respective regions.</t>
  </si>
  <si>
    <t>Free Univ Berlin, Inst Biol Systemat Biol &amp; Pflanzengeog, D-14195 Berlin, Germany</t>
  </si>
  <si>
    <t>Free University of Berlin</t>
  </si>
  <si>
    <t>Stech, M (corresponding author), Free Univ Berlin, Inst Biol Systemat Biol &amp; Pflanzengeog, Altensteinstr 6, D-14195 Berlin, Germany.</t>
  </si>
  <si>
    <t>mstech@zedat.fu-berlin.de</t>
  </si>
  <si>
    <t>WOS:000240473700031</t>
  </si>
  <si>
    <t>Hilbig, B; Gerdes, D; Montiel, A</t>
  </si>
  <si>
    <t>Hilbig, B.; Gerdes, D.; Montiel, A.</t>
  </si>
  <si>
    <t>Distribution patterns and biodiversity in polychaete communities of the Weddell Sea and Antarctic Peninsula area (Southern Ocean)</t>
  </si>
  <si>
    <t>JOURNAL OF THE MARINE BIOLOGICAL ASSOCIATION OF THE UNITED KINGDOM</t>
  </si>
  <si>
    <t>KING-GEORGE ISLAND; BENTHIC COMMUNITIES; SHETLAND ISLANDS; QUANTITATIVE INVESTIGATIONS; DIVERSITY; SLOPE; MACROZOOBENTHOS; INVERTEBRATES; COLONIZATION; MACROBENTHOS</t>
  </si>
  <si>
    <t>During the expedition EASIZ II with RV 'Polarstern' in 1998 a multibox corer yielded 151 quantitative samples from 26 stations between 120 and 2415 m water depth for benthic community analysis. From this material a total of 235 polychaete species out of 37 families was determined. Forty-seven species are new to science. The polychaete fraction contributed 41.9% to total benthic abundance and 6.5% to total benthic biomass at these stations. Overall mean polychaete abundance (ind m(-2)) and biomass (g wet weight m(-2)) at the stations were 1617 and 49, respectively. Multidimensional scaling procedure clearly grouped the stations into south-eastern Weddell Sea shelf stations, deep-water stations, and stations mostly around the Antarctic Peninsula. Differences between these groups existed in terms of polychaete abundance and biomass as well as species composition, diversity, and evenness.</t>
  </si>
  <si>
    <t>Ruhr Univ Bochum, Lehrstuhl Spezielle Zool, DZMB CcDAMar, D-44780 Bochum, Germany; Alfred Wegener Inst Polar &amp; Marine Res, Columbusctr, D-27568 Bremerhaven, Germany</t>
  </si>
  <si>
    <t>Ruhr University Bochum; Helmholtz Association; Alfred Wegener Institute, Helmholtz Centre for Polar &amp; Marine Research</t>
  </si>
  <si>
    <t>Hilbig, B (corresponding author), Ruhr Univ Bochum, Lehrstuhl Spezielle Zool, DZMB CcDAMar, Univ Str 150, D-44780 Bochum, Germany.</t>
  </si>
  <si>
    <t>bhilbig@senckenberg.de; dgerdes@awi-bremerhaven.de; americo.montiel@umag.cl</t>
  </si>
  <si>
    <t>Montiel, Americo/0000-0002-2644-4879</t>
  </si>
  <si>
    <t>CAMBRIDGE UNIV PRESS</t>
  </si>
  <si>
    <t>32 AVENUE OF THE AMERICAS, NEW YORK, NY 10013-2473 USA</t>
  </si>
  <si>
    <t>0025-3154</t>
  </si>
  <si>
    <t>1469-7769</t>
  </si>
  <si>
    <t>J MAR BIOL ASSOC UK</t>
  </si>
  <si>
    <t>J. Mar. Biol. Assoc. U.K.</t>
  </si>
  <si>
    <t>10.1017/S0025315406013610</t>
  </si>
  <si>
    <t>Marine &amp; Freshwater Biology</t>
  </si>
  <si>
    <t>068JQ</t>
  </si>
  <si>
    <t>WOS:000239370300009</t>
  </si>
  <si>
    <t>Lovrich, GA; Thatje, S</t>
  </si>
  <si>
    <t>Lovrich, Gustavo A.; Thatje, Sven</t>
  </si>
  <si>
    <t>Reproductive and larval biology of the sub-Antarctic hermit crab Pagurus comptus reared in the laboratory</t>
  </si>
  <si>
    <t>LITHODES-SANTOLLA MOLINA; BEAGLE CHANNEL; EGG-PRODUCTION; DECAPOD CRUSTACEANS; ANOMURA; CARCINIZATION; FICTION; PERIODS; FACT</t>
  </si>
  <si>
    <t>Fecundity, hatching rhythm, and the planktotrophic larval development of the hermit crab Pagurus comptus from sub-Antarctic waters of the Beagle Channel (Tierra del Fuego) were studied under controlled laboratory conditions of temperature, light cycle, food supply, and salinity. Fecundity was low, ranging from 134 to 848 eggs per female (cephalotoraxic shield length, SL, 2.3-5.0 mm). Hatching observed in the laboratory ranged from 6 to 30d. The larval development was studied in laboratory cultures fed with Artemia sp. nauplii and kept at constant 7.0 +/- 0.5 degrees C. Larvae invariably passed through four zoeal instars and one megalopa stage. Mean durations of the zoeal stages I to IV were 14.3 +/- 1.8, 16.7 +/- 4.6, 23.2 +/- 6.5, 33.4 +/- 9.2 d, respectively. Combined with the 43.8 +/- 15.6 d recorded for the survived megalopae, we suggest that the complete larval development lasts about four months. Starved larvae, on average, survived for 22 +/- 8.1 d (maximum 38 d) by far exceeding the zoea I duration in fed larvae, but did not reach the moult to the zoea 11 stage. Unlike other sub-Antarctic decapods, which show a tendency towards abbreviated or endotrophic larval developments at high latitudes, hermit crabs, at their southernmost distributional limit on Earth, show an extended and fully planktotrophic larval development and thus need to synchronize larval release with short periods of high primary production.</t>
  </si>
  <si>
    <t>CADIC, RA-9410 Ushuaia, Argentina; Univ Southampton, Sch Ocean &amp; Earth Sci, Natl Oceanog Ctr, Southampton SO14 3ZH, Hants, England</t>
  </si>
  <si>
    <t>NERC National Oceanography Centre; University of Southampton</t>
  </si>
  <si>
    <t>Lovrich, GA (corresponding author), CADIC, RA-9410 Ushuaia, Argentina.</t>
  </si>
  <si>
    <t>lovrich@tierradelfuego.org.ar</t>
  </si>
  <si>
    <t>Lovrich, Gustavo/0000-0001-8424-6566</t>
  </si>
  <si>
    <t>10.1017/S0025315406013658</t>
  </si>
  <si>
    <t>WOS:000239370300013</t>
  </si>
  <si>
    <t>Convey, P; Lewis, SRI</t>
  </si>
  <si>
    <t>Convey, P.; Lewis, Smith R. I.</t>
  </si>
  <si>
    <t>Geothermal bryophyte habitats in the South Sandwich Islands, maritime Antarctic</t>
  </si>
  <si>
    <t>JOURNAL OF VEGETATION SCIENCE</t>
  </si>
  <si>
    <t>colonization; fumarole vegetation; geothermal activity; liverwort, moss</t>
  </si>
  <si>
    <t>FAUNA; ENVIRONMENT; COMMUNITIES; VEGETATION; MELBOURNE; EREBUS</t>
  </si>
  <si>
    <t>Question: How does geothermal activity influence terrestrial plant colonization, species composition and community development in the Antarctic? Location: South Sandwich Islands, maritime Antarctic. Methods: Bryophytes were documented during a biological survey of the archipelago in January and February 1997. Particular attention was given to sites under current or recent influence of geothermal activity. Temperature profiles obtained across defined areas of activity on several islands were linked with the presence of specific bryophytes. Results: Greatest bryophyte richness was associated with geothermally influenced ground. Of 35 moss and nine liverwort species recorded, only four mosses were never associated with heated ground, while eight of the liverworts and 50% of the mosses were found only on actively or recently heated ground. Some species occur in unheated sites elsewhere in the maritime Antarctic, but were absent from such habitats on the South Sandwich Islands. Several species occurred in distinct zones around fumaroles. Maximum temperatures recorded within the upper 0.5 cm of the vegetation surface were 40 - 47 degrees C, with only Campylopus introflexus tolerating such temperatures. Maximum temperatures 2.5 or 5 cm below the vegetation surface of this moss reached 75 degrees C. Other bryophytes regularly present in zoned vegetation included the mosses Dicranella hookeri, Sanionia georgico-uncinata, Pohlia nutans and Notoligotrichum trichodon, and the liverworts Cryptochila grandiflora and Marchantia berteroana. Surface temperatures of 25 - 35 degrees C and subsurface temperatures of 50 - 60 degrees C were recorded in these species. Conclusions: These exceptional plant communities illustrate the transport of viable propagules into the Antarctic. Individually ephemeral in nature, the longer term existence of geothermal habitats on islands along the Scotia Arc may have provided refugia during periods of glacial expansion, facilitating subsequent recolonization of Antarctic terrestrial habitats.</t>
  </si>
  <si>
    <t>British Antarctic Survey, Nat Environm Res Council, Cambridge CB3 0ET, England</t>
  </si>
  <si>
    <t>Convey, P (corresponding author), British Antarctic Survey, Nat Environm Res Council, High Cross,Madingley Rd, Cambridge CB3 0ET, England.</t>
  </si>
  <si>
    <t>p.convey@bas.ac.uk; r.lewis.smith@bas.ac.uk</t>
  </si>
  <si>
    <t>Convey, Peter/0000-0001-8497-9903</t>
  </si>
  <si>
    <t>1100-9233</t>
  </si>
  <si>
    <t>1654-1103</t>
  </si>
  <si>
    <t>J VEG SCI</t>
  </si>
  <si>
    <t>J. Veg. Sci.</t>
  </si>
  <si>
    <t>10.1111/j.1654-1103.2006.tb02474.x</t>
  </si>
  <si>
    <t>Plant Sciences; Ecology; Forestry</t>
  </si>
  <si>
    <t>Plant Sciences; Environmental Sciences &amp; Ecology; Forestry</t>
  </si>
  <si>
    <t>092JL</t>
  </si>
  <si>
    <t>WOS:000241092700014</t>
  </si>
  <si>
    <t>Grobler, GC; van Rensburg, LJ; Bastos, ADS; Chimimba, CT; Chown, SL</t>
  </si>
  <si>
    <t>Grobler, G. C.; van Rensburg, L. Janse; Bastos, A. D. S.; Chimimba, C. T.; Chown, S. L.</t>
  </si>
  <si>
    <t>Molecular and morphometric assessment of the taxonomic status of Ectemnorhinus weevil species (Coleoptera: Curculionidae, Entiminae) from the sub-Antarctic Prince Edward Islands</t>
  </si>
  <si>
    <t>JOURNAL OF ZOOLOGICAL SYSTEMATICS AND EVOLUTIONARY RESEARCH</t>
  </si>
  <si>
    <t>weevils; Ectemnorhinus; Prince Edward Islands; COI gene; phylogenetics; morphometrics; conservation</t>
  </si>
  <si>
    <t>MITOCHONDRIAL-DNA; CLIMATE-CHANGE; HOUSE MICE; MARION; EVOLUTION; SEQUENCES; MODEL; TEMPERATURE; INFERENCE; SELECTION</t>
  </si>
  <si>
    <t>There are long-standing controversies on the taxonomic status of Ectemnorhinus weevil species occurring on the sub-Antarctic Prince Edward Islands. Since the two islands that constitute the Prince Edward Islands archipelago (PEIA), Marion Island (MI) and Prince Edward Island (PEI), differ in terms of alien invasive species such as the introduced house mouse Mus musculus and conservation management strategies, it is important to consider inter-island dynamics when investigating inter-specific relationships. Using a combined molecular phylogenetic and morphometric approach, we attempted to resolve the taxonomic status of the PEIA Ectemnorhinus weevil species. A COI gene phylogeny was inferred following the genetic characterization of 52 Ectemnorhinus weevils from both islands, and morphometric assessment using a set of 15 linear, external measurements was used to differentiate between the two currently recognized species, Ectemnorhinus similis and Ectemnorhinus marioni. Analyses revealed the presence of two genetically and morphometrically distinct species on PEI, whilst evidence for a single species, comprising diverse genetically discrete populations was found on MI. Based on these results, the species unique to PEI has been designated Ectemnorhinus kuscheli n. sp. whilst we confirm the synonymy between E. similis and E. marioni, the two species originally described from MI. E. kuscheli appears to be restricted to PEI, whereas E. similis occurs on both MI and PEI.</t>
  </si>
  <si>
    <t>Univ Stellenbosch, Ctr Invas Biol, Dept Bot &amp; Zool, ZA-7602 Matieland, South Africa</t>
  </si>
  <si>
    <t>Stellenbosch University</t>
  </si>
  <si>
    <t>Grobler, GC (corresponding author), Univ Pretoria, Dept Zool &amp; Entomol, ZA-0002 Pretoria, South Africa.</t>
  </si>
  <si>
    <t>gcgrobler@gmail.com</t>
  </si>
  <si>
    <t>Chown, Steven/ABD-7646-2021; Bastos, Armanda/B-6357-2009; Chown, Steven L/H-3347-2011; Chimimba, Christian/AAX-4146-2020</t>
  </si>
  <si>
    <t>Bastos, Armanda/0000-0002-9223-4204; Grobler, Gert/0000-0003-3560-953X</t>
  </si>
  <si>
    <t>0947-5745</t>
  </si>
  <si>
    <t>1439-0469</t>
  </si>
  <si>
    <t>J ZOOL SYST EVOL RES</t>
  </si>
  <si>
    <t>J. Zool. Syst. Evol. Res.</t>
  </si>
  <si>
    <t>10.1111/j.1439-0469.2006.00358.x</t>
  </si>
  <si>
    <t>Evolutionary Biology; Zoology</t>
  </si>
  <si>
    <t>065XH</t>
  </si>
  <si>
    <t>WOS:000239193000004</t>
  </si>
  <si>
    <t>Croll, DA; Demer, DA; Hewitt, RP; Jansen, JK; Goebel, ME; Tershy, BR</t>
  </si>
  <si>
    <t>Croll, D. A.; Demer, D. A.; Hewitt, R. P.; Jansen, J. K.; Goebel, M. E.; Tershy, B. R.</t>
  </si>
  <si>
    <t>Effects of variability in prey abundance on reproduction and foraging in chinstrap penguins (Pygoscelis antarctica)</t>
  </si>
  <si>
    <t>JOURNAL OF ZOOLOGY</t>
  </si>
  <si>
    <t>penguin; foraging; Antarctica; krill; seabird</t>
  </si>
  <si>
    <t>KRILL EUPHAUSIA-SUPERBA; DIVING BEHAVIOR; ELEPHANT-ISLAND; TARGET-STRENGTH; PARENTAL EFFORT; FOOD; PERFORMANCE; GUILLEMOTS; SEABIRD; PREDATORS</t>
  </si>
  <si>
    <t>Life-history theory predicts that adults of long-lived species such as seabirds should optimally balance investment in current and future offspring. However, when trying to optimize investment in offspring provisioning, the most energetically costly component of seabird parental care, adults need to contend with large interannual fluctuations in prey availability and hence the cost of chick provisioning. Adults faced with this uncertainty can mechanistically balance parental care by adopting a strategy somewhere along the continuum between maintaining constant investment in foraging effort between years and letting chick provisioning fluctuate or holding chick provisioning constant and varying investment in foraging effort. Using ship-based hydroacoustic assessment of prey, time-depth recorders attached to penguins and land-based observations at the breeding colony, we examined how foraging and reproductive effort in breeding chinstrap penguins Pygoscelis antarctica responded to interannual variation in the abundance of Antarctic krill Euphausia superba in the vicinity of Seal Island, South Shetland Islands, 1990-1992. Regional measures of krill density varied by a factor of 2.5 (47.0, 23.8 and 61.2 g m(-2) in 1990, 1991 and 1992, respectively) and was correlated with annual measures of breeding adult body weight and reproductive performance (breeding population size, duration of chick rearing, chick growth, breeding success and fledgling weight). In contrast, measures of penguin foraging effort (dive depth, dive duration, number of trips day(-1), trip duration, number of dives trip(-1) and dive rate) did not differ between years. We conclude that chinstrap penguins reduce reproductive success rather than increase foraging effort in response to decreases in prey abundance in a manner consistent with predictions of life-history strategies for long-lived seabirds.</t>
  </si>
  <si>
    <t>Univ Calif Santa Cruz, Dept Ecol &amp; Evolutionary Biol, Santa Cruz, CA 95060 USA; Natl Marine Fisheries Serv, SW Fisheries Sci Ctr, La Jolla, CA 92038 USA; NOAA, Natl Marine Fisheries Serv, Natl Marine Mammal Lab, Seattle, WA 98115 USA</t>
  </si>
  <si>
    <t>University of California System; University of California Santa Cruz; National Oceanic Atmospheric Admin (NOAA) - USA; National Oceanic Atmospheric Admin (NOAA) - USA</t>
  </si>
  <si>
    <t>Croll, DA (corresponding author), Univ Calif Santa Cruz, Dept Ecol &amp; Evolutionary Biol, 100 Shaffer Rd, Santa Cruz, CA 95060 USA.</t>
  </si>
  <si>
    <t>croll@biology.ucsc.edu</t>
  </si>
  <si>
    <t>, David/ABC-8990-2022; Bond, Alexander L/A-3786-2010</t>
  </si>
  <si>
    <t>, David/0000-0001-5083-8854;</t>
  </si>
  <si>
    <t>0952-8369</t>
  </si>
  <si>
    <t>1469-7998</t>
  </si>
  <si>
    <t>J ZOOL</t>
  </si>
  <si>
    <t>J. Zool.</t>
  </si>
  <si>
    <t>10.1111/j.1469-7998.2006.00090.x</t>
  </si>
  <si>
    <t>063HP</t>
  </si>
  <si>
    <t>WOS:000239009600014</t>
  </si>
  <si>
    <t>Waples, JT; Benitez-Nelson, C; Savoye, N; Van der Loeff, MR; Baskaran, M; Gustafsson, Ö</t>
  </si>
  <si>
    <t>Waples, James T.; Benitez-Nelson, Claudia; Savoye, Nicolas; Van der Loeff, Michiel Rutgers; Baskaran, Mark; Gustafsson, Orjan</t>
  </si>
  <si>
    <t>An introduction to the application and future use of 234Th in aquatic systems</t>
  </si>
  <si>
    <t>MARINE CHEMISTRY</t>
  </si>
  <si>
    <t>Article; Proceedings Paper</t>
  </si>
  <si>
    <t>Workshop on the Future Applications of 234th in Aquatic Ecosystems (FATE)</t>
  </si>
  <si>
    <t>AUG, 2004</t>
  </si>
  <si>
    <t>Woods Hole, MA</t>
  </si>
  <si>
    <t>Th-234; radiochemistry; particle dynamics; aquatic tracers</t>
  </si>
  <si>
    <t>PARTICULATE ORGANIC-CARBON; CENTRAL EQUATORIAL PACIFIC; PARTICLE RESIDENCE TIMES; TH-SERIES NUCLIDES; GENERALIZED SCAVENGING MODEL; SOUTHERN CALIFORNIA BIGHT; SEDIMENT-WATER INTERFACE; ANTARCTIC POLAR FRONT; SANTA-CATALINA BASIN; UPPER OCEAN EXPORT</t>
  </si>
  <si>
    <t>Th-234 is an extremely useful radiotracer of particle dynamics in aquatic systems. Its utility, however, has yet to be realized by many within the aquatic science community. The reasons for this may in part be due to a lack of knowledge of how this nuclide has been used in the past as well as how and where Th-234 might be profitably applied in future research. The purpose of this paper, then, is to examine the variety of Th-234 applications that have been used to understand natural aquatic processes in four major areas: vertical transport, particle cycling, horizontal transport, and sediment dynamics. We provide a general overview of the possible applications of Th-234 in the hopes of provoking an increased interest in the inherent potential and future application of Th-234 in these systems. We end this paper with a discussion of future research avenues in the context of three specific regimes: (i) the upper 1000 m of the open ocean, (ii) coastal sediment/water processes and (iii) large freshwater lakes. (c) 2005 Elsevier B.V. All rights reserved.</t>
  </si>
  <si>
    <t>Univ Wisconsin, Great Lakes WATER Inst, Milwaukee, WI 53204 USA; Univ S Carolina, Dept Geol Sci, Marine Sci Program, Columbia, SC 29208 USA; Free Univ Brussels, Dept Analyt &amp; Environm Chem, B-1050 Brussels, Belgium; Alfred Wegener Inst Polar &amp; Marine Res, D-27570 Bremerhaven, Germany; Wayne State Univ, Dept Geol, Detroit, MI 48202 USA; Stockholm Univ, Dept Appl Environm Res, S-10691 Stockholm, Sweden</t>
  </si>
  <si>
    <t>University of Wisconsin System; University of Wisconsin Milwaukee; University of South Carolina System; University of South Carolina Columbia; Universite Libre de Bruxelles; Helmholtz Association; Alfred Wegener Institute, Helmholtz Centre for Polar &amp; Marine Research; Wayne State University; Stockholm University</t>
  </si>
  <si>
    <t>Waples, JT (corresponding author), Univ Wisconsin, Great Lakes WATER Inst, Milwaukee, WI 53204 USA.</t>
  </si>
  <si>
    <t>jwaples@uwm.edu</t>
  </si>
  <si>
    <t>Baskaran, Mark/AAN-2253-2020; Waples, James/A-6205-2013</t>
  </si>
  <si>
    <t>Baskaran, Mark/0000-0002-2218-4328; Benitez-Nelson, Claudia/0000-0002-1004-5048</t>
  </si>
  <si>
    <t>0304-4203</t>
  </si>
  <si>
    <t>1872-7581</t>
  </si>
  <si>
    <t>MAR CHEM</t>
  </si>
  <si>
    <t>Mar. Chem.</t>
  </si>
  <si>
    <t>3-4</t>
  </si>
  <si>
    <t>10.1016/j.marchem.2005.10.011</t>
  </si>
  <si>
    <t>Chemistry, Multidisciplinary; Oceanography</t>
  </si>
  <si>
    <t>Chemistry; Oceanography</t>
  </si>
  <si>
    <t>049LC</t>
  </si>
  <si>
    <t>WOS:000238016800002</t>
  </si>
  <si>
    <t>Coppola, L; Roy-Barman, M; Mulsow, S; Povinec, P; Jeandel, C</t>
  </si>
  <si>
    <t>Coppola, L.; Roy-Barman, M.; Mulsow, S.; Povinec, P.; Jeandel, C.</t>
  </si>
  <si>
    <t>Thorium isotopes as tracers of particles dynamics and deep water circulation in the Indian sector of the Southern Ocean (ANTARES IV)</t>
  </si>
  <si>
    <t>thorium-234; thorium-230; marine particles; Southern Indian Ocean</t>
  </si>
  <si>
    <t>ATLANTIC BLOOM EXPERIMENT; ANTARCTIC BOTTOM WATER; ORGANIC-CARBON EXPORT; CROZET BASIN; PACIFIC SECTOR; MEDITERRANEAN SEA; ARCTIC-OCEAN; TH-230; VENTILATION; PA-231</t>
  </si>
  <si>
    <t>Dissolved and particulate samples were collected to study the distribution of thorium isotopes ((234)Th, (232)Th and (230)Th) in the water column of the Indian sector of the Southern Ocean (from 42 S to 47 S and from 60 E to 66 E, north of the Polar Front) during Austral summer 1999. Vertical profiles of excess (230)Th ((230)Th(xs)) increases linearly with depth in surface water (0-100 m) and a model was applied to estimate a residence time relative to the thorium scavenging (tau(scav)). Low tau(scav) in the Polar Front Zone (PFZ) are found, compared to those estimated in the Subtropical Front Zone (STZ). Changes in particle composition between the PFZ and STZ could influence the (230)Th(xs) scavenging efficiency and explain this difference. An innovative coupling between (214)Th and (230)Th(xs) was then used to simultaneously constrain the settling velocities of small (0.6-60 mu m) and large (above 60 mu m) particles. Although the different hydrological and biogeochemical regimes visited during the ANTARES IV cruise did not explain the spatial variation of sinking velocity estimates, our results indicate that less particles may reach the seafloor north (60 +/- 2 m d(-1) station 8) than south of the Agulhas Return Current (119 +/- 23 and 130 +/- 5 m d(-1) at stations 3 and 7, respectively). This information is essential for understanding particle transport and by extension, carbon export. In the deep water column, the (230)Th(xs) concentrations did not increase linearly with depth, probably due to lateral transport of North Atlantic Deep Water (NADW) from the Atlantic to the Indian sector, which renews the deep waters and decreases the (230)Th(xs) concentrations. A specific (230)Th(xs) transport model is applied in the deep water column and allows us to assess a travel time of NADW ranging from 2 to 15 years. (c) 2005 Elsevier B.V. All rights reserved.</t>
  </si>
  <si>
    <t>UPS, CNRS, CNES, IRD,LEGOS, F-31400 Toulouse, France; Swedish Museum Nat Hist, LIG, S-10405 Stockholm, Sweden; IPSL, LSCE, F-91198 Gif Sur Yvette, France; Univ Austral Chile, Inst Geociencias, Valdivia, Chile; IAEA, Marine Environm Lab, MC-98000 Monaco, Monaco</t>
  </si>
  <si>
    <t>Universite de Toulouse; Universite Toulouse III - Paul Sabatier; Centre National de la Recherche Scientifique (CNRS); Institut de Recherche pour le Developpement (IRD); Laboratoire d'Etudes en Geophysique et oceanographie spatiales; Swedish Museum of Natural History; CEA; Centre National de la Recherche Scientifique (CNRS); Universite Paris Saclay; Universite Paris Cite; Universidad Austral de Chile</t>
  </si>
  <si>
    <t>Coppola, L (corresponding author), UPS, CNRS, CNES, IRD,LEGOS, 14 Av E Belin, F-31400 Toulouse, France.</t>
  </si>
  <si>
    <t>coppolal@gmail.com</t>
  </si>
  <si>
    <t>Povinec, Pavel P/R-4682-2018; Jeandel, Catherine/P-3789-2014; , Sandor/AAW-3450-2020; Coppola, Laurent/F-7880-2017</t>
  </si>
  <si>
    <t>Jeandel, Catherine/0000-0002-4915-4719; , Sandor/0000-0002-2466-8107; Coppola, Laurent/0000-0003-0473-1129; Povinec, Pavel/0000-0003-0275-794X</t>
  </si>
  <si>
    <t>ELSEVIER SCIENCE BV</t>
  </si>
  <si>
    <t>PO BOX 211, 1000 AE AMSTERDAM, NETHERLANDS</t>
  </si>
  <si>
    <t>10.1016/j.marchem.2005.10.019</t>
  </si>
  <si>
    <t>WOS:000238016800010</t>
  </si>
  <si>
    <t>Baena, AMRY; Metian, M; Teyssié, JL; De Broyer, C; Warnau, M</t>
  </si>
  <si>
    <t>Rodriguez y Baena, Alessia M.; Metian, Marc; Teyssie, Jean-Louis; De Broyer, Claude; Warnau, Michel</t>
  </si>
  <si>
    <t>Experimental evidence for 234Th bioaccumulation in three Antarctic crustaceans:: Potential implications for particle flux studies</t>
  </si>
  <si>
    <t>zooplankton; amphipods; isopods; Th-234; particle fluxes; Southern Ocean</t>
  </si>
  <si>
    <t>PARTICULATE ORGANIC-CARBON; CENTRAL EQUATORIAL PACIFIC; KRILL EUPHAUSIA-SUPERBA; MARINE ORGANISMS; THORIUM ISOTOPES; EXPORT FLUX; POC EXPORT; SEA-WATER; BEHAVIOR; RADIONUCLIDES</t>
  </si>
  <si>
    <t>Th-234 is considered a valuable and useful tracer of oceanic biogeochemical processes occurring over timescales of days to weeks. While the geochemical behaviour of this radionuclide in the marine environment is well known, relatively few studies have explored its interactions with biota. To better understand biologically related Th-234 dynamics, bioaccumulation of Th-234 from the dissolved phase and its subsequent retention in small Antarctic crustaceans (the isopod Natatolana oculata and the amphipods Orchomenella ultima and Uristes stebbingi) was determined under controlled laboratory conditions. Despite morphological and behavioural differences, all three species displayed comparable concentration factors (CF &gt;= 80) and very long retention of Th-234 (biological half-life not significantly different from infinity). From 16% (isopod) to 49% (both amphipods) of accumulated Th-234 was associated with the animal soft parts, which is substantial when compared with reported values for other particle-reactive transuranic elements. The relevance of zooplankton as a potential modulator of Th-234 distribution in the water column is discussed in light of these findings. CF-based computations suggest that, for typical zooplankton biomass, biologically mediated interactions with particle flux models can be neglected. In contrast, in waters with very high crustacean biomass, such as krill schools, Th-234 distribution in the water column would be largely determined by these organisms. In such waters the biological compartment should be addressed as it could confound the reliability of vertical particle flux assessment using Th-234 as a proxy. (c) 2005 Elsevier B.V. All rights reserved.</t>
  </si>
  <si>
    <t>IAEA, Marine Environm Lab, MC-98000 Monaco, Monaco; Univ Genoa, DipTeRis, I-16132 Genoa, Italy; IRSNB, Dept Invertebrates, B-1000 Brussels, Belgium</t>
  </si>
  <si>
    <t>University of Genoa</t>
  </si>
  <si>
    <t>Baena, AMRY (corresponding author), IAEA, Marine Environm Lab, 4 Quai Antoine 1er, MC-98000 Monaco, Monaco.</t>
  </si>
  <si>
    <t>aryb@yahoo.com; m.metian@iaea.org; j.l.teyssie@iaea.org; claude.debroyer@naturalsciences.be; m.warnau@iaea.org</t>
  </si>
  <si>
    <t>Metian, Marc/F-8010-2018</t>
  </si>
  <si>
    <t>Metian, Marc/0000-0003-1485-5029</t>
  </si>
  <si>
    <t>10.1016/j.marchem.2005.10.022</t>
  </si>
  <si>
    <t>WOS:000238016800014</t>
  </si>
  <si>
    <t>[Anonymous]</t>
  </si>
  <si>
    <t>Scientists find Antarctic ozone hole to recover later than expected</t>
  </si>
  <si>
    <t>MARINE POLLUTION BULLETIN</t>
  </si>
  <si>
    <t>News Item</t>
  </si>
  <si>
    <t>0025-326X</t>
  </si>
  <si>
    <t>1879-3363</t>
  </si>
  <si>
    <t>MAR POLLUT BULL</t>
  </si>
  <si>
    <t>Mar. Pollut. Bull.</t>
  </si>
  <si>
    <t>Environmental Sciences; Marine &amp; Freshwater Biology</t>
  </si>
  <si>
    <t>Environmental Sciences &amp; Ecology; Marine &amp; Freshwater Biology</t>
  </si>
  <si>
    <t>086SN</t>
  </si>
  <si>
    <t>WOS:000240693400007</t>
  </si>
  <si>
    <t>Golden, KM; Heaton, AL; Eicken, H; Lytle, VI</t>
  </si>
  <si>
    <t>Void bounds for fluid transport in sea ice</t>
  </si>
  <si>
    <t>MECHANICS OF MATERIALS</t>
  </si>
  <si>
    <t>sea ice; porous media; permeability; trapping; bounds</t>
  </si>
  <si>
    <t>ELECTROMAGNETIC SCATTERING MODELS; PARTICLE-SIZE RATIO; ELECTRICAL-CONDUCTIVITY; HETEROGENEOUS MEDIA; PERMEABILITY; DIFFUSION; FLOW; MICROSTRUCTURE; RESISTIVITY; EVOLUTION</t>
  </si>
  <si>
    <t>Arctic and Antarctic sea ice plays a critical role in the global ocean-climate system, as well as in polar biology. Sea ice is a porous composite of pure ice with brine, air and salt inclusions whose microstructure varies significantly with temperature. The fluid transport properties of sea ice control a broad range of geophysical and biological processes. Yet little is known, for example, about bulk flow of brine or diffusive transport of dissolved substances such as nutrients or pollutants through the porous microstructure, particularly from a theoretical standpoint. Here we give rigorous, mathematical formulations of the two key problems of fluid dynamics in sea ice: estimating the effective fluid permeability tensor k(phi) and its dependence on brine porosity phi, and estimating the trapping constant gamma or mean survival time tau for a diffusion process in the pore microstructure which can react with the boundary. We bring together and review a variety of results which lay the foundation for studying fluid transport processes in sea ice from a mathematical perspective, and focus on rigorous bounds on k and gamma. Void bounds evaluated by Torquato and Pham [Torquato, S., Pham, D.C., 2004. Optimal bounds on the trapping constant and permeability of porous media. Phys. Rev. Lett. 92, 255505:1-4] for classical coated cylinder geometries yield pipe bounds for the permeability k of sea ice in the vertical direction. By incorporating information about average brine inclusion sizes, the void bounds provide a useful benchmark that captures laboratory data taken on k(phi). (C) 2005 Elsevier Ltd. All rights reserved.</t>
  </si>
  <si>
    <t>Univ Utah, Dept Math, Salt Lake City, UT 84112 USA; Univ Alaska, Inst Geophys, Fairbanks, AK 99775 USA; Norwegian Polar Res Inst, CliC Int Project Off, Polarmiljsenteret, NO-9296 Tromso, Norway</t>
  </si>
  <si>
    <t>Utah System of Higher Education; University of Utah; University of Alaska System; University of Alaska Fairbanks; Norwegian Polar Institute</t>
  </si>
  <si>
    <t>Univ Utah, Dept Math, 155 S 1400 E RM 233, Salt Lake City, UT 84112 USA.</t>
  </si>
  <si>
    <t>golden@math.utah.edu; heaton@chem.utah.edu; hajo.eicken@gi.alaska.edu; victoria.lytle@npolar.no</t>
  </si>
  <si>
    <t>Eicken, Hajo/M-6901-2016</t>
  </si>
  <si>
    <t>Heaton, PhD, Amy L/0000-0002-2508-1826</t>
  </si>
  <si>
    <t>0167-6636</t>
  </si>
  <si>
    <t>1872-7743</t>
  </si>
  <si>
    <t>MECH MATER</t>
  </si>
  <si>
    <t>Mech. Mater.</t>
  </si>
  <si>
    <t>AUG-OCT</t>
  </si>
  <si>
    <t>8-10</t>
  </si>
  <si>
    <t>10.1016/j.mechmat.2005.06.015</t>
  </si>
  <si>
    <t>Materials Science, Multidisciplinary; Mechanics</t>
  </si>
  <si>
    <t>Materials Science; Mechanics</t>
  </si>
  <si>
    <t>041PC</t>
  </si>
  <si>
    <t>WOS:000237467100010</t>
  </si>
  <si>
    <t>Campbell, CK; Borman, AM; Linton, CJ; Bridge, PD; Johnson, EM</t>
  </si>
  <si>
    <t>Campbell, Colin K.; Borman, Andrew M.; Linton, Christopher J.; Bridge, Paul D.; Johnson, Elizabeth M.</t>
  </si>
  <si>
    <t>Arthroderma olidum, sp nov.: A new addition to the Trichophyton terrestre complex</t>
  </si>
  <si>
    <t>MEDICAL MYCOLOGY</t>
  </si>
  <si>
    <t>Arthroderma olidum; Trichophyton eboreum; teleomorph; badger hair; rDNA gene sequences</t>
  </si>
  <si>
    <t>TRANSCRIBED SPACER REGIONS; KERATINOPHILIC FUNGI</t>
  </si>
  <si>
    <t>In 1981, four fungal isolates from hair of the European badger (Meles meles) were examined by Dr Phyllis Stockdale at the Commonwealth Mycological Institute, Kew, and deposited in the UK National Collection of Pathogenic Fungi as an undescribed member of the Trichophyton terrestre complex. The present paper formalizes the complete description of a new ascomycete taxon, Arthroderma olidum following successful recent attempts to re-isolate the same fungus from the soil of Badger holes in South West England. Furthermore, using ribosomal RNA gene sequencing, we show that the asexual form of A. olidum is conspecific with the recently described Trichophyton eboreum [1] isolated from a human skin specimen in Germany.</t>
  </si>
  <si>
    <t>Hlth Protect Agcy, SW Reg Lab, Mycol Reference Lab, Bristol BS2 8EL, Avon, England; British Antarctic Survey, Cambridge CB3 0ET, England</t>
  </si>
  <si>
    <t>Health Protection Agency; UK Research &amp; Innovation (UKRI); Natural Environment Research Council (NERC); NERC British Antarctic Survey</t>
  </si>
  <si>
    <t>Borman, AM (corresponding author), Hlth Protect Agcy, SW Reg Lab, Mycol Reference Lab, Myrtle Rd, Bristol BS2 8EL, Avon, England.</t>
  </si>
  <si>
    <t>Andy.Borman@ubht.nhs.uk</t>
  </si>
  <si>
    <t>Borman, Andy/H-3663-2019</t>
  </si>
  <si>
    <t>Borman, Andy/0000-0003-0585-5721</t>
  </si>
  <si>
    <t>NERC [bas010015] Funding Source: UKRI; Natural Environment Research Council [bas010015] Funding Source: researchfish</t>
  </si>
  <si>
    <t>NERC(UK Research &amp; Innovation (UKRI)Natural Environment Research Council (NERC)); Natural Environment Research Council(UK Research &amp; Innovation (UKRI)Natural Environment Research Council (NERC))</t>
  </si>
  <si>
    <t>1369-3786</t>
  </si>
  <si>
    <t>1460-2709</t>
  </si>
  <si>
    <t>MED MYCOL</t>
  </si>
  <si>
    <t>Med. Mycol.</t>
  </si>
  <si>
    <t>10.1080/13693780600796538</t>
  </si>
  <si>
    <t>Infectious Diseases; Mycology; Veterinary Sciences</t>
  </si>
  <si>
    <t>083YF</t>
  </si>
  <si>
    <t>WOS:000240494500008</t>
  </si>
  <si>
    <t>Kehm, K; Flynn, GJ; Hohenberg, CM</t>
  </si>
  <si>
    <t>Kehm, Karl; Flynn, George J.; Hohenberg, Charles M.</t>
  </si>
  <si>
    <t>Noble gas space exposure ages of individual interplanetary dust particles</t>
  </si>
  <si>
    <t>METEORITICS &amp; PLANETARY SCIENCE</t>
  </si>
  <si>
    <t>SOLAR ENERGETIC PARTICLES; HELIUM ION-IMPLANTATION; EXCESS HE-3; ANTARCTIC MICROMETEORITES; WIND; NEON; GRAINS; PERIOD; ABUNDANCES; ARGON</t>
  </si>
  <si>
    <t>The He, Ne, and Ar compositions of 32 individual interplanetary dust particles (IDPs) were measured using low-blank laser probe gas extraction. These measurements reveal definitive evidence of space exposure. The Ne and Ar isotopic compositions in the IDPs are primarily a mixture between solar wind (SW) and an isotopically heavier component dubbed fractionated solar (FS), which could be implantation-fractionated solar wind or a distinct component of the solar corpuscular radiation previously identified as solar energetic particles (SEP). Space exposure ages based on the Ar content of individual IDPs are estimated for a subset of the grains that appear to have escaped significant volatile losses during atmosphere entry. Although model -dependent, most of the particles in this subset have ages that are roughly consistent with origin in the asteroid belt. A short (&lt; 1000 years) space exposure age is inferred for one particle, which is suggestive of cometary origin. Among the subset of grains that show some evidence for relatively high atmospheric entry heating, two possess elevated Ne-21/Ne-22 ratios generated by extended exposure to solar and galactic cosmic rays. The inferred cosmic ray exposure ages of these particles exceeds 107 years, which tends to rule out origin in the asteroid belt. A favorable possibility is that these Ne-21-rich IDPs previously resided on a relatively stable regolith of an Edgeworth-Kuiper belt or Oort cloud body and were introduced into the inner solar system by cometary activity. These results demonstrate the utility of noble gas measurements in constraining models for the origins of interplanetary dust particles.</t>
  </si>
  <si>
    <t>Washington Coll, Dept Phys, Chestertown, MD 21620 USA; Carnegie Inst Sci, Dept Terr Magnetism, Washington, DC 20015 USA; SUNY Coll Plattsburgh, Dept Phys, Plattsburgh, NY 12901 USA; Washington Univ, Dept Phys, St Louis, MO 63130 USA</t>
  </si>
  <si>
    <t>Washington College; Carnegie Institution for Science; State University of New York (SUNY) System; SUNY Plattsburgh; Washington University (WUSTL)</t>
  </si>
  <si>
    <t>Kehm, K (corresponding author), Washington Coll, Dept Phys, 300 Washington Ave, Chestertown, MD 21620 USA.</t>
  </si>
  <si>
    <t>kkehm2@washcoll.edu</t>
  </si>
  <si>
    <t>1086-9379</t>
  </si>
  <si>
    <t>1945-5100</t>
  </si>
  <si>
    <t>METEORIT PLANET SCI</t>
  </si>
  <si>
    <t>Meteorit. Planet. Sci.</t>
  </si>
  <si>
    <t>10.1111/j.1945-5100.2006.tb00516.x</t>
  </si>
  <si>
    <t>075UL</t>
  </si>
  <si>
    <t>WOS:000239910600007</t>
  </si>
  <si>
    <t>Moroz, LV; Schmidt, M; Schade, U; Hiroi, T; Ivanova, MA</t>
  </si>
  <si>
    <t>Moroz, L. V.; Schmidt, M.; Schade, U.; Hiroi, T.; Ivanova, M. A.</t>
  </si>
  <si>
    <t>Synchrotron-based infrared microspectroscopy as a useful tool to study hydration states of meteorite constituents</t>
  </si>
  <si>
    <t>ORGANIC-MATTER; THERMAL METAMORPHISM; REFLECTANCE SPECTRA; SOLAR-SYSTEM; MU-M; MINERALOGY; MIXTURES; PHYLLOSILICATES; CHONDRITES; RESOLUTION</t>
  </si>
  <si>
    <t>We present the results of the infrared (IR) microscopic study of the anomalous carbonaceous chondrites Dhofar (Dho) 225 and Dhofar 735 in comparison to typical CM2 chondrites Cold Bokkeveld, Murray, and Mighei. The Fourier transform infrared (FTIR) 2.5-14 mu m reflectance measurements were performed on conventional polished sections using an infrared microscope with a synchrotron radiation source. We demonstrate that the synchrotron-based IR microspectroscopy is a useful, nondestructive tool for studying hydration states of meteorite constituents in situ. Our results show that the matrices of Dho 225 and Dho 735 are dehydrated compared to the matrices of typical CM2 chondrites. The spectra of the Dho 225 and Dho 735 matrices lack the 2.7-2.8 mu m absorption feature present in the spectra of Cold Bokkeveld, Murray, and Mighei. Spectral signatures caused by Si-O vibrations in fine-grained, Fe-rich olivines dominate the 10 mu m spectral region in the spectra of Dho 225 and Dho 735 matrices, while the spectra of normal CM2 chondrites are dominated by spectral signatures due to Si-O vibrations in phyllosilicates. We did not detect any hydrated phases in the spectra of Dho 225 and Dho 735 polished sections. In addition, the near-infrared reflectance spectra of Dho 225 and Dho 735 bulk powders show spectral similarities to the Antarctic metamorphosed carbonaceous chondrites. We confirm the results of previous mineralogical, chemical, and isotopic studies indicating that the two meteorites from Oman are the first non-Antarctic metamorphosed carbonaceous chondrites.</t>
  </si>
  <si>
    <t>Univ Munster, Inst Planetol, D-48149 Munster, Germany; German Aerosp Ctr, DLR, Inst Planetary Res, D-12489 Berlin, Germany; Heidelberg Univ, Dept Appl Chem, D-69120 Heidelberg, Germany; Berliner Elektronenspeicherring, Gesell Synchrotronstrahlung MBH, BESSY, D-12489 Berlin, Germany; Brown Univ, Dept Geosci, Providence, RI 02912 USA; Russian Acad Sci, VI Vernadskii Inst Geochem &amp; Analyt Chem, Moscow 119991, Russia</t>
  </si>
  <si>
    <t>University of Munster; Helmholtz Association; German Aerospace Centre (DLR); Ruprecht Karls University Heidelberg; Helmholtz Association; Helmholtz-Zentrum fuer Materialien und Energie GmbH (HZB); Brown University; Russian Academy of Sciences; Vernadsky Institute of Geochemistry &amp; Analytical Chemistry</t>
  </si>
  <si>
    <t>Moroz, LV (corresponding author), Univ Munster, Inst Planetol, Wilhelm Klemm Str 10, D-48149 Munster, Germany.</t>
  </si>
  <si>
    <t>Ljuba.Moroz@dlr.de</t>
  </si>
  <si>
    <t>Schade, Ulrich/D-9341-2013</t>
  </si>
  <si>
    <t>Schade, Ulrich/0000-0002-4194-2235; Hiroi, Takahiro/0000-0003-2866-9091</t>
  </si>
  <si>
    <t>10.1111/j.1945-5100.2006.tb00517.x</t>
  </si>
  <si>
    <t>WOS:000239910600008</t>
  </si>
  <si>
    <t>Engrand, C; Duprat, J; Maurette, M; Kurat, G; Gounelle, M</t>
  </si>
  <si>
    <t>Engrand, C.; Duprat, J.; Maurette, M.; Kurat, G.; Gounelle, M.</t>
  </si>
  <si>
    <t>Comparison of anhydrous minerals of Concordia and Cap-Prudhomme Antarctic micrometeorites. Predictions for Wild-2 cometary particles</t>
  </si>
  <si>
    <t>69th Annual Meeting of the Meteoritical-Society</t>
  </si>
  <si>
    <t>AUG 06-11, 2006</t>
  </si>
  <si>
    <t>Zurich, SWITZERLAND</t>
  </si>
  <si>
    <t>CNRS, CSNSM, F-91405 Orsay, France; Univ Vienna, Inst Geol Wissensch, A-1090 Vienna, Austria; MNHN Mineral, LEME, F-75005 Paris, France</t>
  </si>
  <si>
    <t>Centre National de la Recherche Scientifique (CNRS); Universite Paris Saclay; University of Vienna; Museum National d'Histoire Naturelle (MNHN)</t>
  </si>
  <si>
    <t>engrand@csnsm.in2p3.fr</t>
  </si>
  <si>
    <t>METEORITICAL SOC</t>
  </si>
  <si>
    <t>FAYETTEVILLE</t>
  </si>
  <si>
    <t>DEPT CHEMISTRY/BIOCHEMISTRY, UNIV ARKANSAS, FAYETTEVILLE, AR 72701 USA</t>
  </si>
  <si>
    <t>A51</t>
  </si>
  <si>
    <t>065PR</t>
  </si>
  <si>
    <t>WOS:000239172300083</t>
  </si>
  <si>
    <t>Gounelle, M; Chaussidon, M; Engrand, C; Duprat, J; Leroux, H</t>
  </si>
  <si>
    <t>Gounelle, M.; Chaussidon, M.; Engrand, C.; Duprat, J.; Leroux, H.</t>
  </si>
  <si>
    <t>A 16O-rich CAI-like particle among Antarctic micrometeorites</t>
  </si>
  <si>
    <t>LEME MNHN, IARC, F-75005 Paris, France; NHM London, CRPG, London SW7 5BD, England; CNRS, F-54501 Vandoeuvre Les Nancy, France; CSNSM, F-91405 Orsay, France; LSPES, F-59655 Villeneuve Dascq, France</t>
  </si>
  <si>
    <t>World Health Organization; International Agency for Research on Cancer (IARC); Museum National d'Histoire Naturelle (MNHN); Centre National de la Recherche Scientifique (CNRS); Universite de Lorraine; Universite Paris Saclay</t>
  </si>
  <si>
    <t>gounelle@mnhn.fr</t>
  </si>
  <si>
    <t>A67</t>
  </si>
  <si>
    <t>WOS:000239172300114</t>
  </si>
  <si>
    <t>Huwig, KA; Harvey, RP</t>
  </si>
  <si>
    <t>Huwig, K. A.; Harvey, R. P.</t>
  </si>
  <si>
    <t>Fib-tem and SIMS of aeolian and glacial antarctic micrometeorites - Evidence for origin of COPS</t>
  </si>
  <si>
    <t>69th Annual Meeting of the Meteoritical Society</t>
  </si>
  <si>
    <t>Case Western Reserve Univ, Dept Geol Sci, Cleveland, OH 44106 USA</t>
  </si>
  <si>
    <t>University System of Ohio; Case Western Reserve University</t>
  </si>
  <si>
    <t>huwig@case.edu</t>
  </si>
  <si>
    <t>A82</t>
  </si>
  <si>
    <t>WOS:000239172300145</t>
  </si>
  <si>
    <t>Kaiden, H; Arai, T</t>
  </si>
  <si>
    <t>Kaiden, H.; Arai, T.</t>
  </si>
  <si>
    <t>Ion microprobe REE analyses of the Yamato-983885 lunar meteorite</t>
  </si>
  <si>
    <t>Natl Inst Polar Res, Antarctic Meteorite Res Ctr, Tokyo 1738515, Japan; Grad Univ Adv Studies, Sch Multidisciplinary Sci, Dept Polar Sci, Tokyo 1738515, Japan</t>
  </si>
  <si>
    <t>Research Organization of Information &amp; Systems (ROIS); National Institute of Polar Research (NIPR) - Japan; Graduate University for Advanced Studies - Japan</t>
  </si>
  <si>
    <t>kaiden@nipr.ac.jp</t>
  </si>
  <si>
    <t>A90</t>
  </si>
  <si>
    <t>WOS:000239172300161</t>
  </si>
  <si>
    <t>Kennedy, JD; Harvey, RP</t>
  </si>
  <si>
    <t>Kennedy, J. D.; Harvey, R. P.</t>
  </si>
  <si>
    <t>The Antarctic Ferrar dolerite and the petrogenesis of the Martian shergottites</t>
  </si>
  <si>
    <t>Kennedy, John D/L-1416-2015</t>
  </si>
  <si>
    <t>Kennedy, John D/0000-0002-1480-1939</t>
  </si>
  <si>
    <t>A94</t>
  </si>
  <si>
    <t>WOS:000239172300168</t>
  </si>
  <si>
    <t>Kusuno, H; Kobayashi, M; Fukuoka, T; Kojima, H</t>
  </si>
  <si>
    <t>Kusuno, H.; Kobayashi, M.; Fukuoka, T.; Kojima, H.</t>
  </si>
  <si>
    <t>Determination of 26Al contents for antarctic meteorites using extremely low background γ-ray counting system of ICRR, University of Tokyo</t>
  </si>
  <si>
    <t>Rissho Univ, Fac Geoenvironm Sci, Dept Environm Syst, Kumagaya, Saitama 3600194, Japan; Natl Inst Polar Res, Antarctic Meteorites Res Ctr, Itabashi Ku, Tokyo 1738515, Japan</t>
  </si>
  <si>
    <t>Research Organization of Information &amp; Systems (ROIS); National Institute of Polar Research (NIPR) - Japan</t>
  </si>
  <si>
    <t>tfukuoka@ris.ac.jp</t>
  </si>
  <si>
    <t>A103</t>
  </si>
  <si>
    <t>WOS:000239172300186</t>
  </si>
  <si>
    <t>Lin, YT; Ju, YT; Xu, XX; Pan, MR; Huang, FX; Fang, AM; Li, JV; Liu, XB; Pen, WJ; Hu, JM; Cheng, X</t>
  </si>
  <si>
    <t>Lin, Yangting; Ju, Yitai; Xu, Xiaxin; Pan, Mingrong; Huang, Feixin; Fang, Aimin; Li, Jinvan; Liu, Xiaobo; Pen, Wenjun; Hu, Jianmin; Cheng, Xiao</t>
  </si>
  <si>
    <t>Recovery of 5354 meteorites in Grove Mountains, Antarctica, by the 22nd Chinese Antarctic Research Expedition</t>
  </si>
  <si>
    <t>Chinese Acad Sci, Inst Geol &amp; Geophys, State Key Lab Lithospher Evolut, Beijing 100864, Peoples R China; Polar Res Inst China, Shanghai, Peoples R China; CAS, Inst Tibetan Plateau Res, Beijing, Peoples R China; Wuhan Univ, Sch Geodesy &amp; Geomat, Wuhan 430072, Peoples R China; Chinese Acad Geol Sci, Inst Geomech, Beijing, Peoples R China; CAS, Inst Remote Sensing Applicat, Beijing, Peoples R China</t>
  </si>
  <si>
    <t>Chinese Academy of Sciences; Institute of Geology &amp; Geophysics, CAS; Polar Research Institute of China; Chinese Academy of Sciences; Institute of Tibetan Plateau Research, CAS; Wuhan University; China Geological Survey; Institute of Geomechanics, Chinese Academy of Geological Sciences; Chinese Academy of Geological Sciences; Chinese Academy of Sciences</t>
  </si>
  <si>
    <t>LinYT@mail.igcas.ac.cn</t>
  </si>
  <si>
    <t>Lin, Yangting/A-8845-2015; lin, yt/IQT-6771-2023</t>
  </si>
  <si>
    <t>A107</t>
  </si>
  <si>
    <t>WOS:000239172300194</t>
  </si>
  <si>
    <t>Mardon, AA; Zalcik, M; Greenspon, JA; Mardon, EG</t>
  </si>
  <si>
    <t>Mardon, A. A.; Zalcik, M.; Greenspon, J. A.; Mardon, E. G.</t>
  </si>
  <si>
    <t>Possible Pleistocene meteorite placer deposits on the Canadian prairies similar to Antarctic meteorite placers</t>
  </si>
  <si>
    <t>Antarctic Inst Canada, Edmonton, AB, Canada</t>
  </si>
  <si>
    <t>amardon@shaw.ca; bluegrama@shaw.ca; jon.a.greenspon@stargateresearch.com</t>
  </si>
  <si>
    <t>A112</t>
  </si>
  <si>
    <t>WOS:000239172300204</t>
  </si>
  <si>
    <t>Mardon, AA</t>
  </si>
  <si>
    <t>Mardon, A. A.</t>
  </si>
  <si>
    <t>A comparison of an Islamic contemporary comet reference and the Anglo-Saxon chronicle contemporary comet reference to Halley's comet of 1066 AD</t>
  </si>
  <si>
    <t>Antarctic Inst Canada, Edmonton, AB, Canada; Penza State Pedag Univ, Edmonton, AB T5J 2M4, Canada</t>
  </si>
  <si>
    <t>amardon@shaw.ca</t>
  </si>
  <si>
    <t>A111</t>
  </si>
  <si>
    <t>WOS:000239172300203</t>
  </si>
  <si>
    <t>Misawa, K; Kaiden, H; Noguchi, T</t>
  </si>
  <si>
    <t>Misawa, K.; Kaiden, H.; Noguchi, T.</t>
  </si>
  <si>
    <t>Young radiometric ages of shergottites: Implications for aqueous alteration on the Martian surface</t>
  </si>
  <si>
    <t>MINERAL CHEMISTRY; PETROGENESIS; PETROGRAPHY; LEW88516; PLANET</t>
  </si>
  <si>
    <t>Natl Inst Polar Res, Antarctic Meteorite Res Ctr, Tokyo 1738515, Japan; Ibaraki Univ, Mito, Ibaraki 3108512, Japan</t>
  </si>
  <si>
    <t>Research Organization of Information &amp; Systems (ROIS); National Institute of Polar Research (NIPR) - Japan; Ibaraki University</t>
  </si>
  <si>
    <t>misawa@nipr.ac.jp</t>
  </si>
  <si>
    <t>A122</t>
  </si>
  <si>
    <t>WOS:000239172300225</t>
  </si>
  <si>
    <t>Ninagawa, K; Imae, N; Kojima, H; Yanai, K; Jull, AJT</t>
  </si>
  <si>
    <t>Ninagawa, K.; Imae, N.; Kojima, H.; Yanai, K.; Jull, A. J. T.</t>
  </si>
  <si>
    <t>Thermoluminescence study in the Japanese Antarctic meteorites collection: Asuka ordinary chondrites</t>
  </si>
  <si>
    <t>Okayama Univ Sci, Dept Appl Phys, Okayama 700005, Japan; Natl Inst Polar Res, Tokyo 1738515, Japan; Iwate Univ, Dept Civil &amp; Environm, Morioka, Iwate 0208551, Japan; Univ Arizona, NSF Arizona AMS Lab, Tucson, AZ 85721 USA</t>
  </si>
  <si>
    <t>Okayama University of Science; Research Organization of Information &amp; Systems (ROIS); National Institute of Polar Research (NIPR) - Japan; Iwate University; National Science Foundation (NSF); University of Arizona</t>
  </si>
  <si>
    <t>ninagawa@dap.ous.ac.jp</t>
  </si>
  <si>
    <t>A132</t>
  </si>
  <si>
    <t>WOS:000239172300244</t>
  </si>
  <si>
    <t>Rochette, P; Folco, L; Gattacceca, J; Berteloot, C; Suavet, C</t>
  </si>
  <si>
    <t>Rochette, P.; Folco, L.; Gattacceca, J.; Berteloot, C.; Suavet, C.</t>
  </si>
  <si>
    <t>Magnetic classification, weathering, and terrestrial ages of Antarctic ordinary chondrites</t>
  </si>
  <si>
    <t>Univ Aix Marseille 3, CEREGE, F-13628 Aix En Provence, France; Museo Nazl Antartide, Siena, Italy</t>
  </si>
  <si>
    <t>Aix-Marseille Universite</t>
  </si>
  <si>
    <t>Gattacceca, Jerome/AAG-5651-2019; Folco, Luigi/AAA-6351-2020; Folco, Luigi/AAB-8586-2021</t>
  </si>
  <si>
    <t>Gattacceca, Jerome/0000-0002-1639-7140;</t>
  </si>
  <si>
    <t>WILEY-BLACKWELL</t>
  </si>
  <si>
    <t>A151</t>
  </si>
  <si>
    <t>WOS:000239172300283</t>
  </si>
  <si>
    <t>Tazawa, Y; Fukuoka, T; Hoshi, N; Fukushi, Y; Saito, Y; Noguchi, T; Yada, T</t>
  </si>
  <si>
    <t>Tazawa, Y.; Fukuoka, T.; Hoshi, N.; Fukushi, Y.; Saito, Y.; Noguchi, T.; Yada, T.</t>
  </si>
  <si>
    <t>Chemical compositions of Antarctic micrometeorites and their types</t>
  </si>
  <si>
    <t>Kyoto Univ, Grad Sch Sci, Dept Phys &amp; Astrophys, Kyoto 6068502, Japan; Rissho Univ, Fac Geoenvironm Sci, Dept Environm Syst, Kumagaya 3600914, Japan; Aoyama Gakuin Univ, Coll Sci &amp; Engn, Radio Isotope Lab, Sagamihara, Kanagawa 2298551, Japan; Ibaraki Univ, Dept Biol &amp; Mat Sci, Mito, Ibaraki 3108512, Japan; Univ Tokyo, Dept Earth &amp; Planetary Sci, Tokyo 1130033, Japan</t>
  </si>
  <si>
    <t>Kyoto University; Aoyama Gakuin University; Ibaraki University; University of Tokyo</t>
  </si>
  <si>
    <t>tazawa@cr.scphys.kyoto-u.ac.jp</t>
  </si>
  <si>
    <t>A172</t>
  </si>
  <si>
    <t>WOS:000239172300324</t>
  </si>
  <si>
    <t>Zalcik, M; Mardon, AA</t>
  </si>
  <si>
    <t>Zalcik, M.; Mardon, A. A.</t>
  </si>
  <si>
    <t>Possible heightened noctilucent cloud activity near strong Perseid maxima</t>
  </si>
  <si>
    <t>Antarctic Inst Canada, Edmonton, AB T5J 2M4, Canada</t>
  </si>
  <si>
    <t>bluegrama@shaw.ca; amardon@shaw.ca</t>
  </si>
  <si>
    <t>A195</t>
  </si>
  <si>
    <t>WOS:000239172300371</t>
  </si>
  <si>
    <t>Biancato, D; Ceccato, D; Chiminello, F; Mittner, P</t>
  </si>
  <si>
    <t>Biancato, D.; Ceccato, D.; Chiminello, F.; Mittner, P.</t>
  </si>
  <si>
    <t>Micro-PIXE and principal component analysis in a study of internal mixing phenomena in Antarctic coastal aerosol</t>
  </si>
  <si>
    <t>NUCLEAR INSTRUMENTS &amp; METHODS IN PHYSICS RESEARCH SECTION B-BEAM INTERACTIONS WITH MATERIALS AND ATOMS</t>
  </si>
  <si>
    <t>17th International Conference on Ion Beam Analysis</t>
  </si>
  <si>
    <t>JUN 26-JUL 01, 2005</t>
  </si>
  <si>
    <t>Seville, SPAIN</t>
  </si>
  <si>
    <t>Antarctica; aerosol; micro-PIXE; size-segregated; PCA; internal mixing</t>
  </si>
  <si>
    <t>TROPOSPHERIC AEROSOLS</t>
  </si>
  <si>
    <t>Two thousand eight hundred aerosol particles belonging to the four supermicrometric stages of three size-segregated samples of Antarctic coastal aerosol were submitted to single particle (SAP) micro-PIXE analysis. In almost all particles at least the three elements Na, Mg and Cl are detected. The multielemental data corresponding to each individual size-segregated subsample were separately submitted to principal component analysis (PCA), using these elements. One principal component (PC) alone always explains at least 92% of the total variance and can be geochemically identified as sea-salt-PC (ssPC). The description by PCA of the important fraction of particles containing not only the three above elements, but also, at least, the crustal elements Al and Si, implies two modifications: the need for a second PC (crustal-PC) describing crustal materials; the appearance of covariant enrichments in crustal materials, in particular Al and Si, in ssPC. Both modifications imply an internal mixing of sea-salt and insoluble particulate crustal materials. Implications thereof for particles origin and interactions are considered. (c) 2006 Elsevier B.V. All rights reserved.</t>
  </si>
  <si>
    <t>Univ Padua, Dipartimento Fis G Galilei, I-35131 Padua, Italy</t>
  </si>
  <si>
    <t>Ceccato, D (corresponding author), Ist Nazl Fis Nucl, Lab Nazl Legnaro, I-35020 Legnaro, PD, Italy.</t>
  </si>
  <si>
    <t>ceccato@lnl.infn.it</t>
  </si>
  <si>
    <t>0168-583X</t>
  </si>
  <si>
    <t>NUCL INSTRUM METH B</t>
  </si>
  <si>
    <t>Nucl. Instrum. Methods Phys. Res. Sect. B-Beam Interact. Mater. Atoms</t>
  </si>
  <si>
    <t>10.1016/j.nimb.2006.03.053</t>
  </si>
  <si>
    <t>Instruments &amp; Instrumentation; Nuclear Science &amp; Technology; Physics, Atomic, Molecular &amp; Chemical; Physics, Nuclear</t>
  </si>
  <si>
    <t>Instruments &amp; Instrumentation; Nuclear Science &amp; Technology; Physics</t>
  </si>
  <si>
    <t>070ST</t>
  </si>
  <si>
    <t>WOS:000239545000139</t>
  </si>
  <si>
    <t>Schrödl, M; Linse, K; Schwabe, E</t>
  </si>
  <si>
    <t>Schroedl, Michael; Linse, Katrin; Schwabe, Enrico</t>
  </si>
  <si>
    <t>Review on the distribution and biology of Antarctic Monoplacophora, with first abyssal record of Laevipilina antarctica</t>
  </si>
  <si>
    <t>POLAR BIOLOGY</t>
  </si>
  <si>
    <t>MICROPILINA-ARNTZI; LIMPET MOLLUSCA; ANATOMY</t>
  </si>
  <si>
    <t>Records of extant Monoplacophora are still scarce, often limited to single specimens or empty shells. Little is known about monoplacophoran diversity, distribution and biology. This study summarizes the present distributional knowledge of all Antarctic monoplacophorans, adding new records from the Eastern Weddell Sea. The record of Laevipilina antarctica from over 3,000 m depth extends its previously known bathymetrical range from 210 to 644 m down to abyssal depths. Special symbiosis with bacteria might contribute to this remarkable eurybathy that is unique amongst extant monoplacophoran species. L. antarctica now is known from several stations along the shelf and slope of the Eastern Weddell and Lazarev Seas. Micropilina arntzi seems limited to the shelf and upper slope of the Lazarev Sea. An undescribed Laevipilina species is known only from a single station at the upper slope of the Eastern Weddell Sea. Distributional patterns are discussed and correlated to environmental conditions and available biological information.</t>
  </si>
  <si>
    <t>Zool Staatssammlung Munchen, D-81247 Munich, Germany; British Antarctic Survey, NERC, Cambridge CB3 0ET, England</t>
  </si>
  <si>
    <t>Schrödl, M (corresponding author), Zool Staatssammlung Munchen, Munchhausenstr 21, D-81247 Munich, Germany.</t>
  </si>
  <si>
    <t>schroedl@zi.biologie.uni-muenchen.de; kl@bas.ac.uk; enrico.schwabe@zsm.mwn.de</t>
  </si>
  <si>
    <t>Linse, Katrin/0000-0003-3477-3047</t>
  </si>
  <si>
    <t>Natural Environment Research Council [bas010015] Funding Source: researchfish; NERC [bas010015] Funding Source: UKRI</t>
  </si>
  <si>
    <t>233 SPRING ST, NEW YORK, NY 10013 USA</t>
  </si>
  <si>
    <t>0722-4060</t>
  </si>
  <si>
    <t>1432-2056</t>
  </si>
  <si>
    <t>POLAR BIOL</t>
  </si>
  <si>
    <t>Polar Biol.</t>
  </si>
  <si>
    <t>10.1007/s00300-006-0132-7</t>
  </si>
  <si>
    <t>Biodiversity Conservation; Ecology</t>
  </si>
  <si>
    <t>Biodiversity &amp; Conservation; Environmental Sciences &amp; Ecology</t>
  </si>
  <si>
    <t>065PQ</t>
  </si>
  <si>
    <t>WOS:000239172200001</t>
  </si>
  <si>
    <t>Pütz, K; Rey, AR; Schiavini, A; Clausen, AP; Lüthi, BH</t>
  </si>
  <si>
    <t>Putz, Klemens; Rey, Andrea Raya; Schiavini, Adrian; Clausen, Andrea P.; Luthi, Bernhard H.</t>
  </si>
  <si>
    <t>Winter migration of rockhopper penguins (Eudyptes c. chrysocome) breeding in the Southwest Atlantic:: is utilisation of different foraging areas reflected in opposing population trends?</t>
  </si>
  <si>
    <t>TIERRA-DEL-FUEGO; FALKLAND ISLANDS; SPHENISCUS-MAGELLANICUS; SATELLITE TRACKING; DIET COMPOSITION; KING PENGUINS; MARION ISLAND; GENTOO; CONSERVATION; ATTACHMENT</t>
  </si>
  <si>
    <t>Rockhopper penguins (Eudyptes chrysocome) breeding on Staten Island, Argentina, were satellite tracked in 2002 and 2003 during the onset of their winter migration. After their moult, the dispersal of 24 birds was monitored for a mean period of 50.0 +/- 40.3 days. Birds travelled at a mean velocity of 3.1 +/- 1.1 km/h. The mean minimum distance travelled was 1,640 +/- 1,425 km; the maximum distance to the colony was generally less than 1,000 km, although one bird travelled more than 2,000 km from the colony. The penguins dispersed over an area totalling about 1.3 million km(2), ranging from 50 to 62 degrees S and from 49 degrees W in the Atlantic to 92 degrees W in the Pacific, and covering polar, sub-polar and temperate waters in oceanic regions as well as shelf waters. Despite the very wide dispersal, both temporally and spatially, two important wintering grounds for rockhopper penguins from Staten Island could be identified, both located over shelf regions: one extended from Staten Island to the north along the coast of Tierra del Fuego up to the Magellan Strait; the other was located over the Burdwood Bank, an isolated extension of the Patagonian Shelf to the south of the Falkland Islands. The Drake Passage also appeared to be an important area for wintering penguins, although dispersal was far more widely spread. Comparison with data obtained during winter from rockhopper penguins originating from the Falkland Islands showed that the area off the coast of Tierra del Fuego was used more or less exclusively by birds from Staten Island, whereas the Burdwood Bank was shared with penguins coming from southern colonies in the Falkland Islands. The implications of these findings are discussed with regard to (a) opposing population trends of rockhopper penguins in the Southwest Atlantic, and (b) the urgent need to establish adequate conservation measures for species and habitat protection.</t>
  </si>
  <si>
    <t>Antarctic Res Trust, Falklands Conservat, Stanley FI11 1ZZ, Falkland Isl, England; Consejo Nacl Invest Cient &amp; Tecn, Ctr Austral Invest Cient, RA-9410 Ushuaia, Argentina; Antarctic Res Trust, CH-8127 Forch, Switzerland</t>
  </si>
  <si>
    <t>Consejo Nacional de Investigaciones Cientificas y Tecnicas (CONICET)</t>
  </si>
  <si>
    <t>Pütz, K (corresponding author), Antarctic Res Trust, Falklands Conservat, Stanley FI11 1ZZ, Falkland Isl, England.</t>
  </si>
  <si>
    <t>puetz@antarctic-research.de</t>
  </si>
  <si>
    <t>Schiavini, Adrian Carlos Miguel/0000-0001-6621-4827; Raya Rey, Andrea/0000-0003-0127-6650; Puetz, Klemens/0000-0003-1375-2669</t>
  </si>
  <si>
    <t>10.1007/s00300-006-0110-0</t>
  </si>
  <si>
    <t>WOS:000239172200003</t>
  </si>
  <si>
    <t>Sullivan, BJ; Brickle, P; Reid, TA; Bone, DG; Middleton, DAJ</t>
  </si>
  <si>
    <t>Sullivan, B. J.; Brickle, P.; Reid, T. A.; Bone, D. G.; Middleton, D. A. J.</t>
  </si>
  <si>
    <t>Mitigation of seabird mortality on factory trawlers: trials of three devices to reduce warp cable strikes</t>
  </si>
  <si>
    <t>ALBATROSS MORTALITY; LONGLINE FISHERY; DIOMEDEA-EXULANS; ISLAND</t>
  </si>
  <si>
    <t>Experimental trials were conducted onboard a stern trawler to identify the relative efficacy of three emerging mitigation measures (tori lines, warp scarer and Brady baffler) designed to reduce seabird mortality caused by warp cable strikes. The use of mitigation measures was clearly shown to substantially reduce seabird mortalities from collisions between seabirds and warp cables. Based on an established significant relationship between contact rate and seabird mortality, when using contact rate as an index of mortality there was a clear performance hierarchy of the three measures. Tori lines and the warp scarer were significantly more effective at reducing contacts than the Brady Baffler, whilst tori lines represent a smaller, but still significant, improvement on the warp scarer. While further testing would be required under local environmental and operational conditions, our findings are likely to have application for many trawl fisheries around the world.</t>
  </si>
  <si>
    <t>Falklands Conservat, Seabirds Sea Team, Stanley, Falkland Isl, England; Falklands Isl Fisheries Dept, Stanley, Falkland Isl, England; British Antarctic Survey, Cambridge CB3 0ET, England</t>
  </si>
  <si>
    <t>Sullivan, BJ (corresponding author), Royal Soc Protect Birds, The Lodge, Sandy SG19 2DL, Beds, England.</t>
  </si>
  <si>
    <t>ben.sullivan@rspb.org.uk</t>
  </si>
  <si>
    <t>Brickle, Paul/0000-0002-9870-3518</t>
  </si>
  <si>
    <t>NERC [bas010017] Funding Source: UKRI; Natural Environment Research Council [bas010017] Funding Source: researchfish</t>
  </si>
  <si>
    <t>ONE NEW YORK PLAZA, SUITE 4600, NEW YORK, NY, UNITED STATES</t>
  </si>
  <si>
    <t>10.1007/s00300-006-0111-z</t>
  </si>
  <si>
    <t>WOS:000239172200004</t>
  </si>
  <si>
    <t>Eastman, JT</t>
  </si>
  <si>
    <t>Eastman, J. T.</t>
  </si>
  <si>
    <t>Aspects of the morphology of phyletically basal bovichtid fishes of the Antarctic suborder Notothenioidei (Perciformes)</t>
  </si>
  <si>
    <t>CHOROID RETE-MIRABILE; LYMPHOMYELOID ORGANS; OXYGEN SECRETION; TELEOSTEI; EVOLUTION; EYE; VASCULARIZATION; BRAIN</t>
  </si>
  <si>
    <t>In studying the soft tissue anatomy and histology of notothenioids, especially the bovichtids Bovichtus diacanthus and Cottoperca gobio, I evaluated the structure and phyletic distribution of two characters identified by Balushkin (2000) and a new ocular character complex first recognized here. Histology indicates that Balushkin's antesupracleithral organ is the thymus, a lymphoid organ that involutes with age in notothenioids. Given the universal phyletic distribution of the thymus in gnathostomes, the variation introduced by ontogenetic regression, and its predilection to preservation artifacts, neither its presence nor the appearance of its epidermis are reliable systematic characters in notothenioids. Balushkin's hypoglossal gland, found in Bovichtus and Cottoperca, is a projection of the mucosa of the oral cavity lateral to the tongue. Histology reveals that it is not a multicellular gland and that its composition does not differ from that of the oral musosa in general-stratified squamous epithelium containing unicellular mucous glands and a few taste buds. While an elaboration of a mucosal fold present in some other notothenioids, the hypoglossal gland is nevertheless sufficiently different and distinct in Bovichtus and Cottoperca that it is a valid synapomorphy for bovichtids. Study of ocular vascular morphology reveals that bovichtids, but not other notothenioids, have a persistent choroid fissure and a low falciform process with a Dreiecke (triangle of Virchow). A lentiform body is also present in these two genera but is seen in Pseudaphritis urvillii and Eleginops maclovinus as well. A choroid fissure, falciform process and lentiform body have not been previously noted in notothenioids. The ocular character complex reinforces the phyletically basal position of bovichtids since a choroid fissure and falciform process are widely distributed among perciform outgroups but lost in non-bovichtid notothenioids. Non-traditional morphological characters provide useful information, but preservation can be problematic and museum specimens may not suffice when the structures are truly soft tissue such as the thymus and interior of the eye.</t>
  </si>
  <si>
    <t>Ohio Univ, Dept Biomed Sci, Athens, OH 45701 USA</t>
  </si>
  <si>
    <t>University System of Ohio; Ohio University</t>
  </si>
  <si>
    <t>Eastman, JT (corresponding author), Ohio Univ, Dept Biomed Sci, Athens, OH 45701 USA.</t>
  </si>
  <si>
    <t>eastman@ohiou.edu</t>
  </si>
  <si>
    <t>Eastman, Joseph T/A-9786-2008; Eastman, Joseph T./O-6150-2019</t>
  </si>
  <si>
    <t>Eastman, Joseph T./0000-0003-3868-261X</t>
  </si>
  <si>
    <t>10.1007/s00300-006-0112-y</t>
  </si>
  <si>
    <t>WOS:000239172200005</t>
  </si>
  <si>
    <t>Cantero, ALP; Gili, JM</t>
  </si>
  <si>
    <t>Pena Cantero, A. L.; Gili, J. M.</t>
  </si>
  <si>
    <t>Benthic hydroids (Cnidaria, hydrozoa) from off bouvet island (Antarctic ocean)</t>
  </si>
  <si>
    <t>GENUS SCHIZOTRICHA ALLMAN; STAUROTHECA ALLMAN; OSWALDELLA STECHOW; R.V. POLARSTERN; RV POLARSTERN; EXPEDITIONS; SERTULARIIDAE; FAUNA; HALOPTERIDIDAE; DIVERSITY</t>
  </si>
  <si>
    <t>Twenty-seven species of benthic hydroids have been found in a small collection from off Bouvet Island (Antarctic Ocean). The material was obtained during the XXI/2 German Antarctic expedition with R.V. Polarstern 2003-2004. Of the 27 species collected, 21 were unknown from those waters. Consequently, the number of known species of benthic hydroids from the area has risen to 32, representing a high diversity location for this group in the Southern Ocean considering the sampling effort made. All species, including those previously known from Bouvet waters, are considered with respect to geographical distribution.</t>
  </si>
  <si>
    <t>Univ Valencia, Inst Cavanilles Biodiversidad &amp; Biol Evolut, E-46071 Valencia, Spain; CSIC, Inst Ciencias Mar, Dept Biol Marina, E-08003 Barcelona, Spain</t>
  </si>
  <si>
    <t>University of Valencia; Consejo Superior de Investigaciones Cientificas (CSIC); CSIC - Centro Mediterraneo de Investigaciones Marinas y Ambientales (CMIMA); CSIC - Instituto de Ciencias del Mar (ICM)</t>
  </si>
  <si>
    <t>Cantero, ALP (corresponding author), Univ Valencia, Inst Cavanilles Biodiversidad &amp; Biol Evolut, Apdo Correos 22085, E-46071 Valencia, Spain.</t>
  </si>
  <si>
    <t>alvaro.l.pena@uv.es; gili@icm.csic.es</t>
  </si>
  <si>
    <t>Cantero, Álvaro Luis Peña/F-7888-2016</t>
  </si>
  <si>
    <t>Pena Cantero, Alvaro/0000-0003-3056-6673</t>
  </si>
  <si>
    <t>10.1007/s00300-006-0113-x</t>
  </si>
  <si>
    <t>WOS:000239172200006</t>
  </si>
  <si>
    <t>Poncet, S; Robertson, G; Phillips, RA; Lawton, K; Phalan, B; Trathan, PN; Croxall, JP</t>
  </si>
  <si>
    <t>Poncet, Sally; Robertson, Graham; Phillips, Richard A.; Lawton, Kieran; Phalan, Ben; Trathan, Philip N.; Croxall, John P.</t>
  </si>
  <si>
    <t>Status and distribution of wandering, black-browed and grey-headed albatrosses breeding at South Georgia</t>
  </si>
  <si>
    <t>NONBREEDING ALBATROSSES; CONSERVATION; DEMOGRAPHY; ISLAND</t>
  </si>
  <si>
    <t>Long-term studies at Bird Island, South Georgia, show that numbers of wandering, black-browed and grey-headed albatrosses have been decreasing since the late 1970s. To determine the status of the total South Georgia population, all known colonies were censused in 2003/2004 using a combination of yacht-based digital photography and ground counts. The breeding population estimates from this census are 1,553 pairs of wandering albatross, 74,296 pairs of black-browed albatross and 47,674 pairs of grey-headed albatross. A 30% decline since 1984 was recorded for wandering albatross, and comparison of a sample of black-browed and grey-headed albatross colonies on the mainland of South Georgia photo-censused in both 1985/1986 and 2003/2004 indicates similarly substantial population declines. Unless these decreases can be halted or reversed, doubt will exist as to the long-term viability of these species of albatross at South Georgia.</t>
  </si>
  <si>
    <t>S Georgia Surveys, Stanley FIQQ 1ZZ, Falkland Island, England; Australian Antarctic Div, Kingston, Tas 7050, Australia; British Antarctic Survey, NERC, Cambridge CB3 0ET, England</t>
  </si>
  <si>
    <t>Australian Antarctic Division; UK Research &amp; Innovation (UKRI); Natural Environment Research Council (NERC); NERC British Antarctic Survey</t>
  </si>
  <si>
    <t>Poncet, S (corresponding author), S Georgia Surveys, Stanley FIQQ 1ZZ, Falkland Island, England.</t>
  </si>
  <si>
    <t>sallyponcet@horizon.co.fk</t>
  </si>
  <si>
    <t>Phalan, Ben/A-5783-2009</t>
  </si>
  <si>
    <t>Phalan, Ben/0000-0001-7876-7226</t>
  </si>
  <si>
    <t>10.1007/s00300-006-0114-9</t>
  </si>
  <si>
    <t>WOS:000239172200007</t>
  </si>
  <si>
    <t>Wagner, B; Seppelt, R</t>
  </si>
  <si>
    <t>Wagner, Bernd; Seppelt, Rod</t>
  </si>
  <si>
    <t>Deep-water occurrence of the moss Bryum pseudotriquetrum in Radok Lake, Amery Oasis, East Antarctica</t>
  </si>
  <si>
    <t>PRODUCTION ECOLOGY; BENTHIC PLANTS</t>
  </si>
  <si>
    <t>Mosses form an important component of the flora in terrestrial and lacustrine ecosystems of Antarctica. Here we report the occurrence of mosses in Radok Lake, Amery Oasis, East Antarctica, which has a maximum water depth of c. 360 m and is presumed to be the deepest freshwater lake in Antarctica. Aquatic mosses, determined as Bryum pseudotriquetrum, were found at water depths of up to 81 m, growing on the sediment surface at different locations in the lake basin. This is the deepest record of living mosses in Antarctic lakes. The modern oligo- to ultra-oligotrophic hydrological characteristics of Radok Lake may be an indispensable precondition for the growth of the moss at these water depths.</t>
  </si>
  <si>
    <t>Balt Sea Res Inst, D-18119 Warnemunde, Germany; Univ Leipzig, Inst Geophys &amp; Geol, D-04103 Leipzig, Germany; Australian Antarctic Div, Kingston, Tas 7050, Australia</t>
  </si>
  <si>
    <t>Leibniz Institut fur Ostseeforschung Warnemunde; Leipzig University; Australian Antarctic Division</t>
  </si>
  <si>
    <t>Wagner, B (corresponding author), Balt Sea Res Inst, Seestr 15, D-18119 Warnemunde, Germany.</t>
  </si>
  <si>
    <t>bernd.wagner@io-warnemuende.de; rod.seppelt@aad.gov.au</t>
  </si>
  <si>
    <t>Wagner, Bernd/J-4682-2012; Seppelt, Ralf/E-6056-2010</t>
  </si>
  <si>
    <t>Wagner, Bernd/0000-0002-1369-7893; Seppelt, Ralf/0000-0002-2723-7150</t>
  </si>
  <si>
    <t>10.1007/s00300-006-0116-7</t>
  </si>
  <si>
    <t>WOS:000239172200009</t>
  </si>
  <si>
    <t>Coulon, F; Delille, D</t>
  </si>
  <si>
    <t>Coulon, Frederic; Delille, Daniel</t>
  </si>
  <si>
    <t>Influence of substratum on the degradation processes in diesel polluted sub-Antarctic soils (Crozet Archipelago)</t>
  </si>
  <si>
    <t>PETROLEUM-HYDROCARBONS; BIOREMEDIATION; OIL; BIODEGRADATION; CRUDE; CONTAMINATION; MICROORGANISMS; ASSEMBLAGES; SEDIMENTS; MARINE</t>
  </si>
  <si>
    <t>Biodegradation by naturally occurring populations of microorganisms is a major mechanism for the removal of oil hydrocarbons from the environment. Therefore, follow-up of bacterial populations and chemical indices of biodegradation are important components of contaminated site assessment studies. Over a 4-year period following an accidental diesel contamination of the sub-Antarctic Crozet Archipelago (51 degrees 51'E-46 degrees 25'S), a field study was carried out in the contaminated area that is located in a transition zone between an arid fell-field (upstream) and a wet vegetated area (downstream). This study included a monitoring of heterotrophic and hydrocarbon-degrading bacterial abundance and chemical analysis of the remaining hydrocarbons. Significant higher number of heterotrophic and hydrocarbon-degrading bacterial counts revealed a rapid acclimation of sub-Antarctic microbial soil communities to the diesel fuel contamination. A chemical survey conducted during the last 2 years (2002 and 2003) showed that the total extractable hydrocarbons (TPH) content in arid fell field was reduced to &lt;= 50% of their value while it was reduced only to &lt;= 65% in vegetated soil. In addition, the decrease of TPH was always higher in the presence of fertilizer in the arid contaminated area, while fertilizer addition was almost inefficient in the wet contaminated one. All these results demonstrate a serious influence of the soil properties on the degradation rate. However, all chemical indices showed a significant reduction of alkanes and light aromatics in both contaminated area confirming a regular oil degradation process.</t>
  </si>
  <si>
    <t>Univ Essex, Dept Sci Biol, Colchester CO4 3SQ, Essex, England; Univ Paris 06, CNRS, UMR 7621, Observ Oceanol Banyuls,Lab Arago, F-66650 Banyuls sur Mer, France</t>
  </si>
  <si>
    <t>University of Essex; Sorbonne Universite; Centre National de la Recherche Scientifique (CNRS); CNRS - National Institute for Earth Sciences &amp; Astronomy (INSU)</t>
  </si>
  <si>
    <t>Coulon, F (corresponding author), Univ Essex, Dept Sci Biol, Wivenhoe Pk, Colchester CO4 3SQ, Essex, England.</t>
  </si>
  <si>
    <t>fcoulon@essex.ac.uk</t>
  </si>
  <si>
    <t>Coulon, Frederic/B-3227-2009; Daniel, Delille/S-9542-2019</t>
  </si>
  <si>
    <t>Coulon, Frederic/0000-0002-4384-3222;</t>
  </si>
  <si>
    <t>10.1007/s00300-006-0118-5</t>
  </si>
  <si>
    <t>WOS:000239172200011</t>
  </si>
  <si>
    <t>Swain, MR; Gallée, H</t>
  </si>
  <si>
    <t>Swain, Mark R.; Gallee, Hubert</t>
  </si>
  <si>
    <t>Antarctic boundary layer seeing</t>
  </si>
  <si>
    <t>PUBLICATIONS OF THE ASTRONOMICAL SOCIETY OF THE PACIFIC</t>
  </si>
  <si>
    <t>ATMOSPHERIC-TURBULENCE; ADELIE LAND; MODEL; SNOW; PARAMETERIZATION; SIMULATION; CLIMATE; WINDS; FIELD; SEA</t>
  </si>
  <si>
    <t>We have modeled the wintertime boundary-layer seeing over the Antarctic ice sheet and find it to be both strong and ubiquitous. We quantify the relations for both the boundary-layer height and seeing in terms of the surface wind speed. We have also estimated the telescope elevation required to minimize the effect of boundary-layer seeing and find that a minimum elevation of similar to 20 m is required at Dome F. This work demonstrates that regional climate models calibrated by localized observations permit knowledge of the atmosphere to be extended both in space and time and thus constitute a new and powerful tool for quantitative comparison of potential Antarctic telescope sites.</t>
  </si>
  <si>
    <t>Max Planck Inst Astron, D-69117 Heidelberg, Germany; Lab Glaciol &amp; Geophys Environm, UMR 5183, F-38402 St Martin Dheres, France</t>
  </si>
  <si>
    <t>Max Planck Society</t>
  </si>
  <si>
    <t>Swain, MR (corresponding author), Max Planck Inst Astron, Konigstuhl 17, D-69117 Heidelberg, Germany.</t>
  </si>
  <si>
    <t>swain@mpia-hd.mpg.de; gallee@lgg.obs.ujf-grenoble.fr</t>
  </si>
  <si>
    <t>IOP PUBLISHING LTD</t>
  </si>
  <si>
    <t>BRISTOL</t>
  </si>
  <si>
    <t>TEMPLE CIRCUS, TEMPLE WAY, BRISTOL BS1 6BE, ENGLAND</t>
  </si>
  <si>
    <t>0004-6280</t>
  </si>
  <si>
    <t>1538-3873</t>
  </si>
  <si>
    <t>PUBL ASTRON SOC PAC</t>
  </si>
  <si>
    <t>Publ. Astron. Soc. Pac.</t>
  </si>
  <si>
    <t>10.1086/507153</t>
  </si>
  <si>
    <t>Astronomy &amp; Astrophysics</t>
  </si>
  <si>
    <t>075KW</t>
  </si>
  <si>
    <t>WOS:000239884900013</t>
  </si>
  <si>
    <t>Antonov, RA; Chernov, DV; Korosteleva, EE; Kuzmichev, LA; Maksimuk, OA; Panasyuk, MI; Chernikov, SP; Sysoeva, TI; Slavatinsky, SA; Shauov, SB; Tkaczyk, W; Finger, M; Sonsky, M</t>
  </si>
  <si>
    <t>Antonov, R. A.; Chernov, D. V.; Korosteleva, E. E.; Kuzmichev, L. A.; Maksimuk, O. A.; Panasyuk, M. I.; Chernikov, S. P.; Sysoeva, T. I.; Slavatinsky, S. A.; Shaulov, S. B.; Tkaczyk, W.; Finger, M.; Sonsky, M.</t>
  </si>
  <si>
    <t>Antarctic balloon-borne detector of high-energy cosmic rays (SPHERE project)</t>
  </si>
  <si>
    <t>RADIATION PHYSICS AND CHEMISTRY</t>
  </si>
  <si>
    <t>International Conference on PA Cherenkov and Modern Physics</t>
  </si>
  <si>
    <t>JUN 22-25, 2004</t>
  </si>
  <si>
    <t>Orlando, FL</t>
  </si>
  <si>
    <t>cosmic rays; ultra-high-energy particles; extensive air showers; balloon; SPHERE project</t>
  </si>
  <si>
    <t>SPECTRUM</t>
  </si>
  <si>
    <t>The experiment SPHERE is based on a A.E. Chudakov's suggestion to use a new method for investigations of the energy spectrum of ultrahigh-energy primary cosmic rays. A small device lifted up off a snowed surface of the Earth detects Cherenkov light of an extensive air shower that is reflected from the surface. A contemporary status of the experiment SPHERE, a description of the method, the first measurements of the background night starlight in the region of the Russian Antarctic station Novolazarevskaya are presented. A relatively simple detector SPHERE-2 including a spherical mirror of the diameter 1.5 m and a 100-pixel retina is developed for Antarctic balloon-borne measurements of the cosmic ray spectrum. A long-time winter flight makes it possible to measure the spectrum above 10(20) eV. A comparison with satellite and ISS projects of the nearest future shows that efficiency of this detector is sufficiently high. (C) 2006 Elsevier Ltd. All rights reserved.</t>
  </si>
  <si>
    <t>Moscow MV Lomonosov State Univ, Skobeltsyn Inst Nucl Phys, Moscow, Russia; Russian Acad Sci, PN Lebedev Phys Inst, Moscow, Russia; Univ Lodz, Dept Expt Phys, PL-90131 Lodz, Poland; Charles Univ, Prague, Czech Republic; COMPAS Consortium, Turnov, Czech Republic</t>
  </si>
  <si>
    <t>Lomonosov Moscow State University; Russian Academy of Sciences; Russian Academy of Science Lebedev Physical Institute; University of Lodz; Charles University Prague</t>
  </si>
  <si>
    <t>Antonov, RA (corresponding author), Moscow MV Lomonosov State Univ, Skobeltsyn Inst Nucl Phys, Moscow, Russia.</t>
  </si>
  <si>
    <t>antr@decl.sinp.msu.ru; chr@decl.sinp.msu.ru</t>
  </si>
  <si>
    <t>Antonov, Rem/H-4286-2013; Kuzmichev, Leonid/G-9515-2013; Chernov, Dmitry/AAZ-1121-2021; Panasyuk, Mikhail I./E-2005-2012; Chernov, Dmitry/E-1989-2012; Shaulov, Sergey/N-1644-2015</t>
  </si>
  <si>
    <t>Chernov, Dmitry/0000-0001-5093-9970; Chernov, Dmitry/0000-0001-5093-9970; Shaulov, Sergey/0000-0002-4070-8287</t>
  </si>
  <si>
    <t>0969-806X</t>
  </si>
  <si>
    <t>RADIAT PHYS CHEM</t>
  </si>
  <si>
    <t>Radiat. Phys. Chem.</t>
  </si>
  <si>
    <t>10.1016/j.radphyschem.2005.12.013</t>
  </si>
  <si>
    <t>Chemistry, Physical; Nuclear Science &amp; Technology; Physics, Atomic, Molecular &amp; Chemical</t>
  </si>
  <si>
    <t>Chemistry; Nuclear Science &amp; Technology; Physics</t>
  </si>
  <si>
    <t>075KU</t>
  </si>
  <si>
    <t>WOS:000239884700016</t>
  </si>
  <si>
    <t>Passchier, S; Whitehead, JM</t>
  </si>
  <si>
    <t>Passchier, Sandra; Whitehead, Jason M.</t>
  </si>
  <si>
    <t>Anomalous geochemical provenance and weathering history of Plio-Pleistocene glaciomarine fjord strata, Bardin Bluffs Formation, East Antarctica</t>
  </si>
  <si>
    <t>SEDIMENTOLOGY</t>
  </si>
  <si>
    <t>Antarctica; geochemistry; glaciomarine environment; Pleistocene; Pliocene</t>
  </si>
  <si>
    <t>PRINCE-CHARLES-MOUNTAINS; CENOZOIC-PAGODROMA-GROUP; AMERY OASIS; MINERAL ASSEMBLAGES; PRYDZ BAY; SEDIMENTATION; PLEISTOCENE; CHEMISTRY; ROCKS; EVOLUTION</t>
  </si>
  <si>
    <t>Major and trace element chemical analyses of the Plio-Pleistocene Bardin Bluffs Formation, on the margin of a major ice-stream of the East Antarctic Ice Sheet, yield an anomalous chemically altered sediment composition. The Bardin Bluffs Formation of the Pagodroma Group is one of the key deposits on the Antarctic continent recording glaciomarine sedimentation under open marine fjord conditions as recently as the Plio-Pleistocene. In modern fjords occupied by outlet glaciers of ice sheets, the composition of fine-grained terrigenous sediments approaches that of unweathered rock types exposed upstream. In the Bardin Bluffs Formation, average abundances of stable elements (Ti, Al, Zr) approach average upper crustal compositions and the element ratios are consistent with sediments with a cratonic source, implying glacial dispersal from a large shield area through the Lambert Glacier drainage system. Interestingly, the chemical index of alteration (CIA) of these sediments has values similar to those of average shales formed under conditions of chemical weathering. The sediments are particularly depleted in silicate Ca, which has been observed elsewhere in glacial muds sourced from pre-glacial saprolites. The anomalous chemistry of the Bardin Bluffs Formation can be explained by a sequence of events, involving chemical weathering prior to glacial expansion and erosion. The presence of a remnant 1.5 m deep late Neogene weathering profile at the base of the Bardin Bluffs sequence corroborates this conclusion. Supply of large quantities of chemically weathered materials to Antarctic marginal basins requires at least partial deglaciation of the continent and was previously regarded as uncharacteristic for late Neogene Antarctica.</t>
  </si>
  <si>
    <t>Montclair State Univ, Dept Earth &amp; Environm Studies, Montclair, NJ 07043 USA; Univ Tasmania, Inst Antarctic &amp; So Ocean Studies, Hobart, Tas 7001, Australia</t>
  </si>
  <si>
    <t>Montclair State University; University of Tasmania</t>
  </si>
  <si>
    <t>Passchier, S (corresponding author), Montclair State Univ, Dept Earth &amp; Environm Studies, 252 Mallory Hall, Montclair, NJ 07043 USA.</t>
  </si>
  <si>
    <t>passchiers@mail.montclair.edu</t>
  </si>
  <si>
    <t>Passchier, Sandra/AAQ-2243-2021; Passchier, Sandra/B-1993-2008; Passchier, Sandra/GYU-2381-2022</t>
  </si>
  <si>
    <t>Passchier, Sandra/0000-0001-7204-7025; Passchier, Sandra/0000-0001-7204-7025;</t>
  </si>
  <si>
    <t>0037-0746</t>
  </si>
  <si>
    <t>1365-3091</t>
  </si>
  <si>
    <t>Sedimentology</t>
  </si>
  <si>
    <t>10.1111/j.1365-3091.2006.00796.x</t>
  </si>
  <si>
    <t>063IE</t>
  </si>
  <si>
    <t>WOS:000239011100011</t>
  </si>
  <si>
    <t>Ovstedal, DO; Gremmen, NJM</t>
  </si>
  <si>
    <t>Ovstedal, D. O.; Gremmen, N. J. M.</t>
  </si>
  <si>
    <t>Lichens of sub-Antarctic Heard Island</t>
  </si>
  <si>
    <t>SOUTH AFRICAN JOURNAL OF BOTANY</t>
  </si>
  <si>
    <t>MARION</t>
  </si>
  <si>
    <t>A total of 71 lichen species in 42 genera are listed for the island. Three species are described as new: Arctomia latispora Ovstedal, Fellhaneropsis subantarctica Ovstedal and Stereocaulon heardii Ovstedal. More than half of the species are restricted to the southern cold zone (Antarctica and sub-Antarctic islands). (c) 2006 SAAB. Published by Elsevier B.V. All rights reserved.</t>
  </si>
  <si>
    <t>Data Analyse Ecol, NL-7981 CD Diever, Netherlands; NIOO, Yerseke, Netherlands; Univ Bergen, Inst Bot, N-5007 Bergen, Norway</t>
  </si>
  <si>
    <t>Royal Netherlands Academy of Arts &amp; Sciences; Netherlands Institute of Ecology (NIOO-KNAW); University of Bergen</t>
  </si>
  <si>
    <t>Gremmen, NJM (corresponding author), Data Analyse Ecol, Hesselsstr 11, NL-7981 CD Diever, Netherlands.</t>
  </si>
  <si>
    <t>gremmen@wxs.nl</t>
  </si>
  <si>
    <t>0254-6299</t>
  </si>
  <si>
    <t>1727-9321</t>
  </si>
  <si>
    <t>S AFR J BOT</t>
  </si>
  <si>
    <t>S. Afr. J. Bot.</t>
  </si>
  <si>
    <t>10.1016/j.sajb.2005.09.008</t>
  </si>
  <si>
    <t>081EC</t>
  </si>
  <si>
    <t>WOS:000240299000002</t>
  </si>
  <si>
    <t>Yamada, M; Zheng, J; Wang, ZL</t>
  </si>
  <si>
    <t>Yamada, Masatoshi; Zheng, Jian; Wang, Zhong-Liang</t>
  </si>
  <si>
    <t>137Cs, 239+240Pu and 240Pu/239Pu atom ratios in the surface waters of the western North Pacific Ocean, eastern Indian Ocean and their adjacent seas</t>
  </si>
  <si>
    <t>SCIENCE OF THE TOTAL ENVIRONMENT</t>
  </si>
  <si>
    <t>(CS)-C-137; Pu-240/Pu-239 atom ratio; surface seawaters; North Pacific proving grounds; eastern Indian Ocean; western North Pacific Ocean</t>
  </si>
  <si>
    <t>ANTHROPOGENIC RADIONUCLIDES; FALLOUT RADIONUCLIDES; PLUTONIUM ISOTOPES; OKINAWA TROUGH; SEDIMENT CORES; PU-239,PU-240; DISTRIBUTIONS; SEAWATER; TRANSPORT; SR-90</t>
  </si>
  <si>
    <t>Surface seawater samples were collected along the track of the R/V Hakuho-Maru cruise (KH-96-5) from Tokyo to the Southern Ocean. The Cs-137 activities were determined for the surface waters in the western North Pacific Ocean, the Sulu and Indonesian Seas, the eastern Indian Ocean, the Bay of Bengal, the Andaman Sea, and the South China Sea. The Cs-137 activities showed a wide variation with values ranging from 1.1 Bq m(-3) in the Antarctic Circumpolar Region of the Southern Ocean to 3 Bq m(-3) in the western North Pacific Ocean and the South China Sea. The latitudinal distributions of Cs-137 activity were not reflective of that of the integrated deposition density of atmospheric global fallout. The removal rates of Cs-137 from the surface waters were roughly estimated from the two data sets of Miyake et al. [Miyake Y, Saruhashi K, Sugimura Y, Kanazawa T, Hirose K, Contents of Cs-137, plutonium and americium isotopes in the Southern Ocean waters. Pap Meteorol Geophys 1988;39:95-113] and this study to be 0.016 yr(-1) in the Sulu and Indonesian Seas, 0.033 yr(-1) in the Bay of Bengal and Andaman Sea, and 0.029 yr(-1) in the South China Sea. These values were much lower than that in the coastal surface water of the western Northwest Pacific Ocean. This was likely due to less horizontal and vertical mixing of water masses and less scavenging. Pu239+240 activities and Pu-240/Pu-239 atom ratios were also determined for the surface waters in the western North Pacific Ocean, the Sulu and Indonesian Seas and the South China Sea. The Pu-240/Pu-239 atom ratios ranged from 0.199 +/- 0.026 to 0.248 +/- 0.027 on average, and were significantly higher than the global stratospheric fallout ratio of 0.18. The contributions of the North Pacific Proving Grounds close-in fallout Pu were estimated to be 20% for the western North Pacific Ocean, 39% for the Sulu and Indonesian Seas and 42% for the South China Sea by using the two end-member mixing model. The higher Pu-240/Pu-239 atom ratios could be attributed to close-in fallout Pu delivered from the Enewetak and Bikini Atolls by ocean currents of branches of the North Equatorial Current to the Southeast Asian seas. (c) 2005 Elsevier B.V. All rights reserved.</t>
  </si>
  <si>
    <t>Natl Inst Radiol Sci, Nakaminato Lab Marine Radioecol, Ibaraki 3111202, Japan; Chinese Acad Sci, Inst Geochem, State Key Lab Environm Geochem, Guiyang 550002, Peoples R China</t>
  </si>
  <si>
    <t>National Institutes for Quantum Science &amp; Technology; Chinese Academy of Sciences; Institute of Geochemistry, CAS</t>
  </si>
  <si>
    <t>Yamada, M (corresponding author), Natl Inst Radiol Sci, Nakaminato Lab Marine Radioecol, Isozaki 36090, Ibaraki 3111202, Japan.</t>
  </si>
  <si>
    <t>m_yamada@nirs.go.jp</t>
  </si>
  <si>
    <t>Zheng, Jian/A-5195-2012; Yamada, Masatoshi/F-2023-2013</t>
  </si>
  <si>
    <t>Zheng, Jian/0000-0003-0616-5570;</t>
  </si>
  <si>
    <t>0048-9697</t>
  </si>
  <si>
    <t>1879-1026</t>
  </si>
  <si>
    <t>SCI TOTAL ENVIRON</t>
  </si>
  <si>
    <t>Sci. Total Environ.</t>
  </si>
  <si>
    <t>JUL 31</t>
  </si>
  <si>
    <t>10.1016/j.scitotenv.2005.08.014</t>
  </si>
  <si>
    <t>070CZ</t>
  </si>
  <si>
    <t>WOS:000239499200024</t>
  </si>
  <si>
    <t>Gilbert, C; Robertson, G; Le Maho, Y; Naito, Y; Ancel, A</t>
  </si>
  <si>
    <t>Gilbert, Caroline; Robertson, Graham; Le Maho, Yvon; Naito, Yasuhiko; Ancel, Andre</t>
  </si>
  <si>
    <t>Huddling behavior in emperor penguins: Dynamics of huddling</t>
  </si>
  <si>
    <t>PHYSIOLOGY &amp; BEHAVIOR</t>
  </si>
  <si>
    <t>social thermoregulation; energy savings; emperor penguins; Antarctica</t>
  </si>
  <si>
    <t>APTENODYTES-FORSTERI</t>
  </si>
  <si>
    <t>Although huddling was shown to be the key by which emperor penguins (Aptenodytes forsteri) save energy and sustain their breeding fast during the Antarctic winter, the intricacies of this social behavior have been poorly studied. We recorded abiotic variables with data loggers glued to the feathers of eight individually marked emperor penguins to investigate their thermoregulatory behavior and to estimate their huddling time budget throughout the breeding season (pairing and incubation period). Contrary to the classic view, huddling episodes were discontinuous and of short and variable duration, lasting 1.6 +/- 1.7 (S.D.) h on average. Despite heterogeneous huddling groups, birds had equal access to the warmth of the huddles. Throughout the breeding season, males huddled for 38 +/- 18% (S.D.) of their time, which raised the ambient temperature that birds were exposed to above 0 degrees C (at average external temperatures of -17 degrees C). As a consequence of tight huddles, ambient temperatures were above 20 degrees C during 13 +/- 12% (S.D.) of their huddling time. Ambient temperatures increased up to 37.5 degrees C, close to birds' body temperature. This complex social behavior therefore enables all breeders to get a regular and equal access to an environment which allows them to save energy and successfully incubate their eggs during the Antarctic winter. (c) 2006 Elsevier Inc. All rights reserved.</t>
  </si>
  <si>
    <t>CNRS, Inst Pluridisciplinaire Hubert Curien, Dept Ecol Physiol &amp; Ethol, UMR 7178, F-67087 Strasbourg 02, France; Univ Strasbourg, F-67087 Strasbourg 02, France; Australian Antarctic Div, Kingston, Tas 7050, Australia; Natl Inst Polar Res, Tokyo 1738515, Japan</t>
  </si>
  <si>
    <t>Centre National de la Recherche Scientifique (CNRS); CNRS - National Institute of Nuclear and Particle Physics (IN2P3); Universites de Strasbourg Etablissements Associes; Universite de Strasbourg; Universites de Strasbourg Etablissements Associes; Universite de Strasbourg; Australian Antarctic Division; Research Organization of Information &amp; Systems (ROIS); National Institute of Polar Research (NIPR) - Japan</t>
  </si>
  <si>
    <t>Gilbert, C (corresponding author), CNRS, Inst Pluridisciplinaire Hubert Curien, Dept Ecol Physiol &amp; Ethol, UMR 7178, 23 Rue Becquerel, F-67087 Strasbourg 02, France.</t>
  </si>
  <si>
    <t>caroline.gilbert@c-strasbourg.fr; graham_rob@aad.gov.au; yvon.lemaho@c-strasbourg.fr; bls@saturn.dti.ne.jp; andre.ancel@c-strasbourg.fr</t>
  </si>
  <si>
    <t>Gilbert, Caroline/HKV-2124-2023</t>
  </si>
  <si>
    <t>Gilbert, Caroline/0000-0002-9957-405X</t>
  </si>
  <si>
    <t>0031-9384</t>
  </si>
  <si>
    <t>PHYSIOL BEHAV</t>
  </si>
  <si>
    <t>Physiol. Behav.</t>
  </si>
  <si>
    <t>JUL 30</t>
  </si>
  <si>
    <t>4-5</t>
  </si>
  <si>
    <t>10.1016/j.physbeh.2006.04.024</t>
  </si>
  <si>
    <t>Psychology, Biological; Behavioral Sciences</t>
  </si>
  <si>
    <t>Science Citation Index Expanded (SCI-EXPANDED); Social Science Citation Index (SSCI)</t>
  </si>
  <si>
    <t>Psychology; Behavioral Sciences</t>
  </si>
  <si>
    <t>075BL</t>
  </si>
  <si>
    <t>WOS:000239857100025</t>
  </si>
  <si>
    <t>Yalcin, K; Wake, CP; Kreutz, KJ; Germani, MS; Whitlow, SI</t>
  </si>
  <si>
    <t>Yalcin, Kaplan; Wake, Cameron P.; Kreutz, Karl J.; Germani, Mark S.; Whitlow, Sallie I.</t>
  </si>
  <si>
    <t>Ice core evidence for a second volcanic eruption around 1809 in the Northern Hemisphere</t>
  </si>
  <si>
    <t>GEOPHYSICAL RESEARCH LETTERS</t>
  </si>
  <si>
    <t>EXPLOSIVE VOLCANISM; ECLIPSE ICEFIELD; RECORD; YUKON</t>
  </si>
  <si>
    <t>A volcanic signal observed in ice cores from both polar regions six years prior to Tambora is attributed to an unknown tropical eruption in 1809. Recovery of dacitic tephra from the 1809 horizon in a Yukon ice core ( Eclipse) that is chemically distinct from andesitic 1809 tephra found in Antarctic ice cores indicates a second eruption in the Northern Hemisphere at this time. Together with the similar magnitude and timing of the 1809 volcanic signal in the Arctic and Antarctic, this could suggest a large tropical eruption produced the sulfate and Antarctic tephra and a minor Northern Hemisphere eruption produced the Eclipse tephra. Nonetheless, the possibility that there were coincidental eruptions of similar magnitude in both hemispheres, rather than a single tropical eruption, should not be discounted. Correctly attributing the source of the 1809 volcanic signal has important implications for modeling the magnitude and latitudinal distribution of volcanic radiative forcing.</t>
  </si>
  <si>
    <t>Univ New Hampshire, Inst Study Earth Oceans &amp; Space, Climate Change Res Ctr, Durham, NH 03824 USA; Univ Maine, Climate Change Inst, Orono, ME 04469 USA; Univ Maine, Dept Earth Sci, Orono, ME 04469 USA; MicroMat Res Inc, Burr Ridge, IL 60527 USA</t>
  </si>
  <si>
    <t>University System Of New Hampshire; University of New Hampshire; University of Maine System; University of Maine Orono; University of Maine System; University of Maine Orono</t>
  </si>
  <si>
    <t>Yalcin, K (corresponding author), Oregon State Univ, Dept Geosci, Wilkinson Hall, Corvallis, OR 97331 USA.</t>
  </si>
  <si>
    <t>yalcink@geo.oregonstate.edu; cameron.wake@unh.edu; karl.kreutz@maine.edu; mgermani@micromaterialsresearch.com; siw@unh.edu</t>
  </si>
  <si>
    <t>Wake, Cameron P/G-8114-2014</t>
  </si>
  <si>
    <t>Wake, Cameron/0000-0002-5961-5902</t>
  </si>
  <si>
    <t>AMER GEOPHYSICAL UNION</t>
  </si>
  <si>
    <t>2000 FLORIDA AVE NW, WASHINGTON, DC 20009 USA</t>
  </si>
  <si>
    <t>0094-8276</t>
  </si>
  <si>
    <t>1944-8007</t>
  </si>
  <si>
    <t>GEOPHYS RES LETT</t>
  </si>
  <si>
    <t>Geophys. Res. Lett.</t>
  </si>
  <si>
    <t>JUL 29</t>
  </si>
  <si>
    <t>L14706</t>
  </si>
  <si>
    <t>10.1029/2006GL026013</t>
  </si>
  <si>
    <t>069ZO</t>
  </si>
  <si>
    <t>Green Published, Bronze</t>
  </si>
  <si>
    <t>WOS:000239489400001</t>
  </si>
  <si>
    <t>Oikonomou, EK; O'Neill, A</t>
  </si>
  <si>
    <t>Oikonomou, E. K.; O'Neill, A.</t>
  </si>
  <si>
    <t>Evaluation of ozone and water vapor fields from the ECMWF reanalysis ERA-40 during 1991-1999 in comparison with UARS satellite and MOZAIC aircraft observations</t>
  </si>
  <si>
    <t>JOURNAL OF GEOPHYSICAL RESEARCH-ATMOSPHERES</t>
  </si>
  <si>
    <t>MICROWAVE LIMB SOUNDER; HALOGEN OCCULTATION EXPERIMENT; ATMOSPHERE RESEARCH SATELLITE; TROPICAL TROPOPAUSE TEMPERATURES; UPPER-TROPOSPHERIC HUMIDITY; GAS EXPERIMENT II; STRATOSPHERIC AEROSOL; AIRBORNE PROGRAM; VALIDATION; CALIBRATION</t>
  </si>
  <si>
    <t>[ 1] The European Centre for Medium-Range Weather Forecasts (ECMWF) 40-year Reanalysis (ERA-40) ozone and water vapor reanalysis fields during the 1990s have been compared with independent satellite data from the Halogen Occultation Experiment (HALOE) and Microwave Limb Sounder (MLS) instruments on board the Upper Atmosphere Research Satellite (UARS). In addition, ERA-40 has been compared with aircraft data from the Measurements of Ozone and Water Vapour by Airbus In-Service Aircraft (MOZAIC) program. Overall, in comparison with the values derived from the independent observations, the upper stratosphere in ERA-40 has about 5 - 10% more ozone and 15 - 20% less water vapor. This dry bias in the reanalysis appears to be global and extends into the middle stratosphere down to 40 hPa. Most of the discrepancies and seasonal variations between ERA-40 and the independent observations occur within the upper troposphere over the tropics and the lower stratosphere over the high latitudes. ERA-40 reproduces a weaker Antarctic ozone hole, and of less vertical extent, than the independent observations; values in the ozone maximum in the tropical stratosphere are lower for the reanalysis. ERA-40 mixing ratios of water vapor are considerably larger than those for MOZAIC, typically by 20% in the tropical upper troposphere, and they may exceed 60% in the lower stratosphere over high latitudes. The results imply that the Brewer-Dobson circulation in the ECMWF reanalysis system is too fast, as is also evidenced by deficiencies in the way ERA-40 reproduces the water vapor tape recorder'' signal in the tropical stratosphere. Finally, the paper examines the biases and their temporal variation during the 1990s in the way ERA-40 compares to the independent observations. We also discuss how the evaluation results depend on the instrument used, as well as on the version of the data.</t>
  </si>
  <si>
    <t>CNRS, Serv Aeron, F-91371 Verrieres Le Buisson, France; Univ Reading, Dept Meteorol, Reading RG6 6BB, Berks, England</t>
  </si>
  <si>
    <t>Centre National de la Recherche Scientifique (CNRS); University of Reading</t>
  </si>
  <si>
    <t>Oikonomou, EK (corresponding author), CNRS, Serv Aeron, BP3, F-91371 Verrieres Le Buisson, France.</t>
  </si>
  <si>
    <t>eoikonom@meteo.noa.gr</t>
  </si>
  <si>
    <t>2169-897X</t>
  </si>
  <si>
    <t>2169-8996</t>
  </si>
  <si>
    <t>J GEOPHYS RES-ATMOS</t>
  </si>
  <si>
    <t>J. Geophys. Res.-Atmos.</t>
  </si>
  <si>
    <t>D14</t>
  </si>
  <si>
    <t>D14109</t>
  </si>
  <si>
    <t>10.1029/2004JD005341</t>
  </si>
  <si>
    <t>069ZU</t>
  </si>
  <si>
    <t>WOS:000239490200001</t>
  </si>
  <si>
    <t>Sicre, MA; Labeyrie, L; Ezat, U; Mazaud, A; Turon, JL</t>
  </si>
  <si>
    <t>Sicre, Marie-Alexandrine; Labeyrie, Laurent; Ezat, Ullah; Mazaud, Alain; Turon, Jean-Louis</t>
  </si>
  <si>
    <t>A 27 kyr terrestrial biomarker record in the southern Indian Ocean</t>
  </si>
  <si>
    <t>GEOCHEMISTRY GEOPHYSICS GEOSYSTEMS</t>
  </si>
  <si>
    <t>biomarker; glacial; Indian Ocean; marine sediments; paleoclimate; terrestrial; atmospheric processes : paleoclimatology; paleoceanography : geochemical tracers; paleoceanography : glacial</t>
  </si>
  <si>
    <t>LONG-CHAIN ALKENONES; LATE QUATERNARY; ICE-CORE; ISOTOPIC CONSTRAINTS; MEDITERRANEAN-SEA; HEINRICH EVENTS; DOME-C; CLIMATE; AFRICA; DUST</t>
  </si>
  <si>
    <t>[ 1] Terrestrial inputs were reconstructed using high molecular weight n-alkane concentrations recorded in the sub-Antarctic Indian Ocean core MD94-103 (45 degrees 35'S, 86 degrees 31'E, 3560 m) to examine regional changes in the atmospheric circulation over the last 27 kyr. This record was compared to the dust content of EPICA-Dome C ice and continental data from South Africa ( e. g., pollen sequences and isotope records in speleothems) to get a comprehensive understanding of atmospheric links between low and midlatitudes of the Indian Ocean. Terrestrial n-alkanes indicate higher glacial than Holocene inputs and marked glacial oscillations. Minimum values during the Last Glacial Maximum (LGM) are consistent with colder and drier climate and presumably caused by the persistence of subtropical anticyclones over southern Africa limiting the amount of rainfall and vegetation growth. The otherwise higher glacial n-alkanes suggest a stronger influence of the tropical rainfall in southern Africa, likely associated with a contraction of the polar vortex with respect to its LGM position. During northern Heinrich events, moderate decline of n-alkanes suggests reduced rainfall over southern Africa possibly caused by weaker tropical easterly winds when, according to Stott et al. (2002), the Pacific Ocean would have experienced Super-ENSO conditions.</t>
  </si>
  <si>
    <t>CNRS, IPSL UMR 1572, LSCE, F-91198 Gif Sur Yvette, France; Univ Bordeaux 1, CNRS, UMR 5805, Dept Geol &amp; Oceanog, F-33405 Talence, France</t>
  </si>
  <si>
    <t>Universite Paris Saclay; CEA; Centre National de la Recherche Scientifique (CNRS); Centre National de la Recherche Scientifique (CNRS); CNRS - National Institute for Earth Sciences &amp; Astronomy (INSU); Universite de Bordeaux</t>
  </si>
  <si>
    <t>Sicre, MA (corresponding author), CNRS, IPSL UMR 1572, LSCE, Ave Terrasse, F-91198 Gif Sur Yvette, France.</t>
  </si>
  <si>
    <t>marie-alexandrine.sicre@lsce.cnrs-gif.fr</t>
  </si>
  <si>
    <t>Marie-Alexandrine, Sicre/AAR-1516-2020; Labeyrie, Laurent Denis/AAV-8405-2021</t>
  </si>
  <si>
    <t>Marie-Alexandrine, Sicre/0000-0002-5015-1400; Labeyrie, Laurent Denis/0000-0002-1554-2449</t>
  </si>
  <si>
    <t>1525-2027</t>
  </si>
  <si>
    <t>GEOCHEM GEOPHY GEOSY</t>
  </si>
  <si>
    <t>Geochem. Geophys. Geosyst.</t>
  </si>
  <si>
    <t>JUL 28</t>
  </si>
  <si>
    <t>Q07014</t>
  </si>
  <si>
    <t>10.1029/2005GC001234</t>
  </si>
  <si>
    <t>069ZJ</t>
  </si>
  <si>
    <t>Bronze, Green Published</t>
  </si>
  <si>
    <t>WOS:000239488800001</t>
  </si>
  <si>
    <t>Johnson, GC; Doney, SC</t>
  </si>
  <si>
    <t>Johnson, Gregory C.; Doney, Scott C.</t>
  </si>
  <si>
    <t>Recent western south Atlantic bottom water warming</t>
  </si>
  <si>
    <t>BRAZIL BASIN; HEAT UPTAKE; OCEAN; VARIABILITY; CHANNEL; FLOW</t>
  </si>
  <si>
    <t>Potential temperature differences are computed from hydrographic sections transiting the western basins of the South Atlantic Ocean from 60 degrees S to the equator in 2005/ 2003 and 1989/1995. While warming is observed throughout much of the water column, the most statistically significant warming is about + 0.04 degrees C in the bottom 1500 dbar of the Brazil Basin, with similar ( but less statistically significant) warming signals in the abyssal Argentine Basin and Scotia Sea. These abyssal waters of Antarctic origin spread northward in the South Atlantic. The observed abyssal Argentine Basin warming is of a similar magnitude to that previously reported between 1980 and 1989. The Brazil Basin abyssal warming is similar in size to and consistent in timing with previously reported changes in abyssal southern inflow and northern outflow. The temperature changes reported here, if they were to hold throughout the abyssal world ocean, would contribute substantially to global ocean heat budgets.</t>
  </si>
  <si>
    <t>NOAA, Pacific Marine Environm Lab, Seattle, WA 98115 USA; Woods Hole Oceanog Inst, Dept Marine Chem &amp; Geochem, Woods Hole, MA 02543 USA</t>
  </si>
  <si>
    <t>National Oceanic Atmospheric Admin (NOAA) - USA; Woods Hole Oceanographic Institution</t>
  </si>
  <si>
    <t>Johnson, GC (corresponding author), NOAA, Pacific Marine Environm Lab, 7600 Sand Point Way Bldg 3, Seattle, WA 98115 USA.</t>
  </si>
  <si>
    <t>gregory.c.johnson@noaa.gov</t>
  </si>
  <si>
    <t>Doney, Scott/F-9247-2010; Johnson, Gregory C/I-6559-2012</t>
  </si>
  <si>
    <t>Doney, Scott/0000-0002-3683-2437; Johnson, Gregory C/0000-0002-8023-4020</t>
  </si>
  <si>
    <t>L14614</t>
  </si>
  <si>
    <t>10.1029/2006GL026769</t>
  </si>
  <si>
    <t>069ZN</t>
  </si>
  <si>
    <t>WOS:000239489300007</t>
  </si>
  <si>
    <t>Winckler, G; Fischer, H</t>
  </si>
  <si>
    <t>Winckler, Gisela; Fischer, Hubertus</t>
  </si>
  <si>
    <t>30,000 years of cosmic dust in Antarctic ice</t>
  </si>
  <si>
    <t>SCIENCE</t>
  </si>
  <si>
    <t>INTERPLANETARY DUST; GLACIAL CYCLES</t>
  </si>
  <si>
    <t>Columbia Univ, Lamont Doherty Earth Observ, Earth Inst, Palisades, NY 10964 USA; Alfred Wegener Inst Polar &amp; Marine Res, D-27568 Bremerhaven, Germany</t>
  </si>
  <si>
    <t>Columbia University; Helmholtz Association; Alfred Wegener Institute, Helmholtz Centre for Polar &amp; Marine Research</t>
  </si>
  <si>
    <t>Winckler, G (corresponding author), Columbia Univ, Lamont Doherty Earth Observ, Earth Inst, Palisades, NY 10964 USA.</t>
  </si>
  <si>
    <t>winckler@ldeo.columbia.edu</t>
  </si>
  <si>
    <t>Fischer, Hubertus/A-1211-2014</t>
  </si>
  <si>
    <t>Fischer, Hubertus/0000-0002-2787-4221</t>
  </si>
  <si>
    <t>AMER ASSOC ADVANCEMENT SCIENCE</t>
  </si>
  <si>
    <t>1200 NEW YORK AVE, NW, WASHINGTON, DC 20005 USA</t>
  </si>
  <si>
    <t>0036-8075</t>
  </si>
  <si>
    <t>Science</t>
  </si>
  <si>
    <t>10.1126/science.1127469</t>
  </si>
  <si>
    <t>Multidisciplinary Sciences</t>
  </si>
  <si>
    <t>Science &amp; Technology - Other Topics</t>
  </si>
  <si>
    <t>067MZ</t>
  </si>
  <si>
    <t>WOS:000239308600052</t>
  </si>
  <si>
    <t>Raymo, ME; Lisiecki, LE; Nisancioglu, KH</t>
  </si>
  <si>
    <t>Raymo, M. E.; Lisiecki, L. E.; Nisancioglu, Kerim H.</t>
  </si>
  <si>
    <t>Plio-pleistocene ice volume, Antarctic climate, and the global δ18O record</t>
  </si>
  <si>
    <t>SEA-LEVEL; MIDDLE PLIOCENE; HISTORY; CYCLES; SHEET; VARIABILITY; GLACIATION; TRANSITION; INSOLATION; GREENLAND</t>
  </si>
  <si>
    <t>We propose that from similar to 3 to 1 million years ago, ice volume changes occurred in both the Northern and Southern Hemispheres, each controlled by local summer insolation. Because Earth's orbital precession is out of phase between hemispheres, 23,000-year changes in ice volume in each hemisphere cancel out in globally integrated proxies such as ocean delta O-18 or sea level, leaving the in-phase obliquity ( 41,000 years) component of insolation to dominate those records. Only a modest ice mass change in Antarctica is required to effectively cancel out a much larger northern ice volume signal. At the mid-Pleistocene transition, we propose that marine-based ice sheet margins replaced terrestrial ice margins around the perimeter of East Antarctica, resulting in a shift to in-phase behavior of northern and southern ice sheets as well as the strengthening of 23,000-year cyclicity in the marine delta O-18 record.</t>
  </si>
  <si>
    <t>Boston Univ, Dept Earth Sci, Boston, MA 02215 USA; Bjerknes Ctr Climate Res, N-5007 Bergen, Norway</t>
  </si>
  <si>
    <t>Boston University; Bjerknes Centre for Climate Research</t>
  </si>
  <si>
    <t>Raymo, ME (corresponding author), Boston Univ, Dept Earth Sci, 685 Commnwealth Ave, Boston, MA 02215 USA.</t>
  </si>
  <si>
    <t>raymo@bu.ecu</t>
  </si>
  <si>
    <t>Raymo, Maureen E/A-1270-2012; Nisancioglu, Kerim/AAW-9315-2021; Lisiecki, Lorraine E/C-4066-2008</t>
  </si>
  <si>
    <t>Nisancioglu, Kerim/0000-0002-5737-5765; Lisiecki, Lorraine/0000-0001-7859-0096</t>
  </si>
  <si>
    <t>1095-9203</t>
  </si>
  <si>
    <t>10.1126/science.1123296</t>
  </si>
  <si>
    <t>WOS:000239308600053</t>
  </si>
  <si>
    <t>Menk, FW; Clilverd, MA; Yearby, KH; Milinevski, G; Thomson, NR; Rose, MC</t>
  </si>
  <si>
    <t>Menk, F. W.; Clilverd, M. A.; Yearby, K. H.; Milinevski, G.; Thomson, N. R.; Rose, M. C.</t>
  </si>
  <si>
    <t>ULF Doppler oscillations of L=2.5 flux tubes</t>
  </si>
  <si>
    <t>JOURNAL OF GEOPHYSICAL RESEARCH-SPACE PHYSICS</t>
  </si>
  <si>
    <t>FIELD LINE RESONANCES; WHISTLER-MODE SIGNALS; ELECTRIC-FIELDS; HYDROMAGNETIC-WAVES; MAGNETIC-FIELD; GROUP DELAYS; PULSATIONS; PLASMASPHERE; MAGNETOSPHERE; DENSITY</t>
  </si>
  <si>
    <t>[ 1] Plasmaspheric ducts may execute Doppler oscillations driven by propagating ultralow frequency (ULF) waves. We examined about 100 such events recorded over 1 year under magnetically quiet conditions at L = 2.5 using artificially generated whistler-mode VLF signals and ground magnetometers. Joint peaks in the VLF Doppler and magnetometer spectra occurred at the frequency expected for ULF waves generated by the ion-cyclotron instability in the upstream solar wind. The VLF Doppler shifts are most likely due to radial motion of flux tubes of a few kilometers, driven by the east-west electric field of propagating ULF waves. When the frequencies match, the incoming wave energy also couples to standing poloidal and azimuthal field line oscillations, producing field line resonance signatures in both the D and H components on ground-based magnetometers. The phases of the VLF and ULF oscillations are consistent with ionospheric rotation of the downgoing ULF wave field. Since the scale size of VLF flux tubes is significantly smaller than for ULF flux tubes, VLF Doppler observations can provide more precise spatial information on ULF wave fields in the plasmasphere. Furthermore, it should be possible to use ULF oscillations to monitor the formation of quarter wavelength mode standing field line oscillations when the conjugate ionospheres have different conductivities.</t>
  </si>
  <si>
    <t>Univ Newcastle, Sch Math &amp; Phys Sci, Newcastle, NSW 2308, Australia; Univ Newcastle, Cooperat Res Ctr Satellite Syst, Newcastle, NSW 2308, Australia; British Antarctic Survey, Cambridge CB3 0ET, England; Univ Sheffield, Dept Automat Control &amp; Syst Engn, Space Instrumentat Grp, Sheffield S1 3JD, S Yorkshire, England; Ukrainian Antarctic Ctr, UA-01601 Kiev, Ukraine; Univ Otago, Dept Phys, Dunedin, New Zealand</t>
  </si>
  <si>
    <t>University of Newcastle; University of Newcastle; UK Research &amp; Innovation (UKRI); Natural Environment Research Council (NERC); NERC British Antarctic Survey; University of Sheffield; Ministry of Education &amp; Science of Ukraine; State Institution National Antarctic Scientific Center; University of Otago</t>
  </si>
  <si>
    <t>Menk, FW (corresponding author), Univ Newcastle, Sch Math &amp; Phys Sci, Newcastle, NSW 2308, Australia.</t>
  </si>
  <si>
    <t>fred.menk@physics.org; macl@bas.ac.uk; k.yearby@sheffield.ac.uk; antarc@carrier.kiev.ua; thomson@physics.otago.ac.nz; mcr@bas.ac.uk</t>
  </si>
  <si>
    <t>Milinevsky, Gennadi/AAD-8801-2019; Menk, Frederick/A-2640-2009</t>
  </si>
  <si>
    <t>Milinevsky, Gennadi/0000-0002-2342-2615; Menk, Frederick/0000-0002-1154-6223</t>
  </si>
  <si>
    <t>2169-9380</t>
  </si>
  <si>
    <t>2169-9402</t>
  </si>
  <si>
    <t>J GEOPHYS RES-SPACE</t>
  </si>
  <si>
    <t>J. Geophys. Res-Space Phys.</t>
  </si>
  <si>
    <t>JUL 26</t>
  </si>
  <si>
    <t>A7</t>
  </si>
  <si>
    <t>A07205</t>
  </si>
  <si>
    <t>10.1029/2005JA011192</t>
  </si>
  <si>
    <t>070AE</t>
  </si>
  <si>
    <t>WOS:000239491500001</t>
  </si>
  <si>
    <t>Vogel, B; Feng, W; Streibel, M; Müller, R</t>
  </si>
  <si>
    <t>Vogel, B.; Feng, W.; Streibel, M.; Mueller, R.</t>
  </si>
  <si>
    <t>The potential impact of ClOx radical complexes on polar stratospheric ozone loss processes</t>
  </si>
  <si>
    <t>ATMOSPHERIC CHEMISTRY AND PHYSICS</t>
  </si>
  <si>
    <t>ATMOSPHERIC CHEMISTRY; ANTARCTIC OZONE; CHLORINE OXIDE; CROSS-SECTIONS; LOSS RATES; WINTER; DEPLETION; MODEL; SCHEME; VORTEX</t>
  </si>
  <si>
    <t>The importance of radical-molecule complexes for atmospheric chemistry has been discussed in recent years. In particular, the existence of a ClO center dot O-2 and ClOx water radical complexes like ClO center dot H2O, OClO center dot H2O, OClO center dot(H2O)(2), and ClOO center dot H2O could play a role in enhancing the ClO dimer (Cl2O2) formation and therefore may constitute an important intermediate in polar stratospheric ozone loss cycles. Model simulations performed with the Chemical Lagrangian Model of the Stratosphere (CLaMS) will be presented to study the role of radical complexes on polar stratospheric ozone loss processes. The model simulations are performed for the Arctic winter 2002/2003 at a level of 500 K potential temperature and the results are compared to observed ozone loss rates determined by the Match technique. Moreover, recently reported values for the equilibrium constant of the ClO dimer formation are used to restrict the number of possible model results caused by large uncertainties about radical complex chemistry. Our model simulations show that the potential impact of ClO center dot O-2 on polar ozone loss processes is small (dO(3)/ dt &lt;&lt; 0.5 ppb/sunlight h) provided that the ClO center dot O-2 complex is only weakly stable. Assuming that the binding energies of the ClOx water complexes are much higher than theoretically predicted an enhancement of the ozone loss rate by up to approximate to 0.5 ppb/sunlight h is simulated. Because it is unlikely that the ClOx water complexes are much more stable than predicted we conclude that these complexes have no impact on polar stratospheric ozone loss processes. Although large uncertainties about radical complex chemistry exist, our findings show that the potential impact of ClOx radical molecule complexes on polar stratospheric ozone loss processes is very small considering pure gas-phase chemistry. However the existence of ClOx radical-molecule complexes could possibly explain discrepancies for the equilibrium constant of the ClO dimer formation found between recent laboratory and stratospheric measurements.</t>
  </si>
  <si>
    <t>Res Ctr Julich, Inst Stratospher Res ICGI, Julich, Germany; Univ Leeds, Sch Earth &amp; Environm, Leeds, W Yorkshire, England; Alfred Wegener Inst Polar &amp; Marine Res, Potsdam, Germany; Univ Cambridge, European Ozone Res Coordinating Unit, Cambridge, England</t>
  </si>
  <si>
    <t>Helmholtz Association; Research Center Julich; University of Leeds; Helmholtz Association; Alfred Wegener Institute, Helmholtz Centre for Polar &amp; Marine Research; University of Cambridge</t>
  </si>
  <si>
    <t>Vogel, B (corresponding author), Res Ctr Julich, Inst Stratospher Res ICGI, Julich, Germany.</t>
  </si>
  <si>
    <t>b.vogel@fz-juelich.de</t>
  </si>
  <si>
    <t>FENG, WUHU/B-8327-2008; Vogel, Bärbel/A-9988-2013; Müller, Rolf/ABA-8213-2021</t>
  </si>
  <si>
    <t>FENG, WUHU/0000-0002-9907-9120; Müller, Rolf/0000-0002-5024-9977; Vogel, Barbel/0000-0001-9763-3055</t>
  </si>
  <si>
    <t>COPERNICUS GESELLSCHAFT MBH</t>
  </si>
  <si>
    <t>GOTTINGEN</t>
  </si>
  <si>
    <t>BAHNHOFSALLEE 1E, GOTTINGEN, 37081, GERMANY</t>
  </si>
  <si>
    <t>1680-7316</t>
  </si>
  <si>
    <t>1680-7324</t>
  </si>
  <si>
    <t>ATMOS CHEM PHYS</t>
  </si>
  <si>
    <t>Atmos. Chem. Phys.</t>
  </si>
  <si>
    <t>JUL 25</t>
  </si>
  <si>
    <t>10.5194/acp-6-3099-2006</t>
  </si>
  <si>
    <t>067AA</t>
  </si>
  <si>
    <t>gold, Green Submitted</t>
  </si>
  <si>
    <t>WOS:000239271100001</t>
  </si>
  <si>
    <t>Andreas, EL; Claffey, KJ; Jordan, RE; Fairall, CW; Guest, PS; Persson, POG; Grachev, AA</t>
  </si>
  <si>
    <t>Andreas, Edgar L.; Claffey, Kerry J.; Jordan, Rachel E.; Fairall, Christopher W.; Guest, Peter S.; Persson, P. Ola G.; Grachev, Andrey A.</t>
  </si>
  <si>
    <t>Evaluations of the von Karman constant in the atmospheric surface layer</t>
  </si>
  <si>
    <t>JOURNAL OF FLUID MECHANICS</t>
  </si>
  <si>
    <t>GEOSTROPHIC DRAG COEFFICIENTS; STABLE BOUNDARY-LAYER; DRIFTING STATION DATA; KANSAS MAST INFLUENCE; WESTERN WEDDELL SEA; TURBULENT PIPE-FLOW; VON KARMAN CONSTANT; VONKARMAN CONSTANT; SONIC ANEMOMETER; SCALAR TRANSFER</t>
  </si>
  <si>
    <t>The von Karman constant k relates the flow speed profile in a wall-bounded shear flow to the stress at the surface. Recent laboratory studies in aerodynamically smooth flow report k values that cluster around 0.42-0.43 and around 0.37-0.39. Recent data from the atmospheric boundary layer, where the flow is usually aerodynamically rough, are similarly ambiguous: k is often reported to be significantly smaller than the canonical value 0.40, and two recent data sets suggest that k decreases with increasing roughness Reynolds number Re-*. To this discussion, we bring two large atmospheric data sets that suggest k is constant, 0.387 +/- 0.003, for 2 &lt;=(*) Re. &lt;= 100. The data come from our yearlong deployment on Arctic sea ice during SHEBA, the experiment to study the Surface Heat Budget of the Arctic Ocean, and from over 800h of observations over Antarctic sea ice on Ice Station Weddell (ISW). These were superb sites for atmospheric boundary-layer research; they were horizontally homogeneous, uncomplicated by topography, and unobstructed and uniform for hundreds of kilometres in all directions. During SHEBA, we instrumented a 20 m tower at five levels between 2 and 18 m with identical sonic anemometer/thermometers and, with these, measured hourly averaged values of the wind speed U(z) and the stress tau(z) at each tower level z. On ISW. we measured the wind-speed profile with propeller anemometers at four heights between 0.5 and 4 m and measured T with a sonic anemometer/thermometer at one height. On invoking strict quality controls, we gleaned 453 hourly U(z) profiles from the SHEBA set and 100 from the ISW set. All of these profiles reflect near-neutral stratification, and each exhibits a logarithmic layer that extends over all sampling heights. By combining these profiles and our measurements of tau, we made 553 independent determinations of k. This is, thus, the largest, most comprehensive atmospheric data set ever used to evaluate the von Karman constant.</t>
  </si>
  <si>
    <t>USA, Cold Reg Res &amp; Engn Lab, Hanover, NH 03755 USA; NOAA, Earth Syst Res Lab, Div Phys Sci, Boulder, CO 80305 USA; USN, Postgrad Sch, Monterey, CA 93943 USA; Univ Colorado, Cooperat Inst Res Environm Sci, Boulder, CO 80309 USA</t>
  </si>
  <si>
    <t>United States Department of Defense; United States Army; U.S. Army Corps of Engineers; U.S. Army Engineer Research &amp; Development Center (ERDC); Cold Regions Research &amp; Engineering Laboratory (CRREL); National Oceanic Atmospheric Admin (NOAA) - USA; United States Department of Defense; United States Navy; Naval Postgraduate School; University of Colorado System; University of Colorado Boulder</t>
  </si>
  <si>
    <t>Andreas, EL (corresponding author), USA, Cold Reg Res &amp; Engn Lab, 72 Lyme Rd, Hanover, NH 03755 USA.</t>
  </si>
  <si>
    <t>GRACHEV, ANDREY/Y-6633-2019; fairall, christopher/G-5970-2019; Persson, Per-Olof/AAJ-4454-2020</t>
  </si>
  <si>
    <t>GRACHEV, ANDREY/0000-0002-7143-0820; fairall, christopher/0000-0003-4073-7413; Persson, Per-Olof/0000-0003-4985-8852</t>
  </si>
  <si>
    <t>0022-1120</t>
  </si>
  <si>
    <t>1469-7645</t>
  </si>
  <si>
    <t>J FLUID MECH</t>
  </si>
  <si>
    <t>J. Fluid Mech.</t>
  </si>
  <si>
    <t>10.1017/S0022112006000164</t>
  </si>
  <si>
    <t>Mechanics; Physics, Fluids &amp; Plasmas</t>
  </si>
  <si>
    <t>Mechanics; Physics</t>
  </si>
  <si>
    <t>074SP</t>
  </si>
  <si>
    <t>WOS:000239832400006</t>
  </si>
  <si>
    <t>Hall, CM; Aso, T; Tsutsumi, M; Höffner, J; Sigernes, F; Holdsworth, DA</t>
  </si>
  <si>
    <t>Hall, C. M.; Aso, T.; Tsutsumi, M.; Hoeffner, J.; Sigernes, F.; Holdsworth, D. A.</t>
  </si>
  <si>
    <t>Neutral air temperatures at 90 km and 70°N and 78°N</t>
  </si>
  <si>
    <t>METEOR DECAY TIMES; SVALBARD 78-DEGREES-N; RADAR OBSERVATIONS; SUMMER MESOSPHERE; THERMAL STRUCTURE; HIGH-LATITUDES; MF RADAR; MESOPAUSE; THERMOSPHERE; DIFFUSION</t>
  </si>
  <si>
    <t>[ 1] Meteor radars are employed to determine neutral air temperatures at 90 km altitude above Adventdalen, Spitsbergen ( 78 degrees N, 16 degrees E) and Ramfjordmoen, mainland Norway ( 70 degrees N, 19 degrees E). The philosophy underlying the temperature derivation including choice of appropriate pressure model and calibration against independent observations is discussed. Average annual variations at each of the two geographic locations are presented, indicating that current models overestimate the summer temperatures by as much as 20 K. The seasonal variation of variability of these temperatures, indicative of corresponding variation in planetary wave activity, is investigated, and in particular, we see that wave activity at 78 degrees N is largely suppressed during summer and is otherwise characterized by a quasi 27-day oscillation during late autumn and winter. The monthly average temperatures for 78 degrees N presented here are proposed as a viable alternative to current semiempirical models.</t>
  </si>
  <si>
    <t>Univ Tromso, Tromso Geophys Observ, N-9037 Tromso, Norway; Natl Inst Polar Res, Itabashi Ku, Tokyo 1738515, Japan; Leibniz Inst Atmospher Phys, D-18225 Kuhlungsborn, Germany; Univ Ctr Svalbard, N-9171 Longyearbyen, Norway; Australian Antarctic Div, Kingston, Tas, Australia; Univ Adelaide, Sch Chem &amp; Phys, Adelaide, SA, Australia; Atmospher Radar Syst, Thebarton, SA 5031, Australia</t>
  </si>
  <si>
    <t>UiT The Arctic University of Tromso; Research Organization of Information &amp; Systems (ROIS); National Institute of Polar Research (NIPR) - Japan; Leibniz Institut fur Atmospharenphysik e.V. an der Universitat Rostock (IAP); University Centre Svalbard (UNIS); Australian Antarctic Division; University of Adelaide</t>
  </si>
  <si>
    <t>Hall, CM (corresponding author), Univ Tromso, Tromso Geophys Observ, N-9037 Tromso, Norway.</t>
  </si>
  <si>
    <t>chris.hall@tgo.uit.no</t>
  </si>
  <si>
    <t>Hall, Colin Michael/C-1439-2010</t>
  </si>
  <si>
    <t>Hall, Colin Michael/0000-0002-7734-4587</t>
  </si>
  <si>
    <t>D14105</t>
  </si>
  <si>
    <t>10.1029/2005JD006794</t>
  </si>
  <si>
    <t>069ZQ</t>
  </si>
  <si>
    <t>WOS:000239489600001</t>
  </si>
  <si>
    <t>Vautravers, MJ; Shackleton, NJ</t>
  </si>
  <si>
    <t>Vautravers, Maryline J.; Shackleton, Nicholas J.</t>
  </si>
  <si>
    <t>Centennial-scale surface hydrology off Portugal during marine isotope stage 3: Insights from planktonic foraminiferal fauna variability</t>
  </si>
  <si>
    <t>PALEOCEANOGRAPHY</t>
  </si>
  <si>
    <t>NORTH-ATLANTIC OSCILLATION; ICE-RAFTED DETRITUS; THERMOHALINE CIRCULATION; CLIMATE OSCILLATIONS; DANSGAARD-OESCHGER; TROPICAL ATLANTIC; IBERIAN MARGIN; HEINRICH EVENTS; GREENLAND ICE; TIME SCALES</t>
  </si>
  <si>
    <t>The marine isotopic stage 3 (MIS3) at Ocean Drilling Program (ODP) Site 1060 (Gulf Stream) shows both sharp onset and end of interstadials, the existence of very short lived warm events during stadials, and points to differences in detail between the sea surface temperature (SST) record from the western North Atlantic and the atmospheric temperature record inferred from delta O-18 in Greenland ice. Investigating MIS3 and obtaining comparable data from other locations appears crucial. The eastern Atlantic provides well-documented records of climate changes. We have selected a core from off Portugal and use it to examine Dansgaard/Oeschger events (D/O) at centennial-scale resolution (139 years on average between two data points). We have obtained a faunal data set for core MD01-2444, 37 degrees N, 10 degrees W, 2600 m water depth and use a group of species (Globigerina bulloides + Globigerinita glutinata) as a proxy of upwelling intensity driven by trade winds intensity changes. We tentatively relate the variation of this group to a North Atlantic Oscillation-like phenomenon (NAO) off Portugal. We observe that it resembles the rainfall index in the Caribbean as recorded at ODP Site 1002 (Cariaco Basin) which traces the Intertropical Convergence Zone (ITCZ) location through changes of terrigenous inputs. The driest intervals (ITZC to the south) at Site 1002 correspond to intervals of increased upwelling in MD01-2444 as well as the driest periods identified during stadials on similar cores in the area. Because the ITZC to the south is consistent with an El Nino-Southern Oscillation (ENSO+) situation, our study suggests a positive correlation between ENSO-like conditions and NAO-like conditions at a millennial timescale. During interstadial intervals when increased wetness over Cariaco is recorded (ITCZ to the north) and the upwelling in MD01-2444 is decreased, we see from both SSTs and faunal tropical indicators that MD01-2444 site is warm. In addition, interstadials are equally warm through each so-called Bond cycle. This contrasts with the Greenland Ice Core Project (GRIP) record where interstadial peaks are successively cooler through each Bond cycle. This record confirms a link between tropical climate linked to ITCZ position and the climate of southern Europe at millennial timescales, in spite of showing a very good correlation with polar latitudes (GRIP) through delta O-18 on Globigerina bulloides. In addition, because the warmest SSTs and the delta O-18 on G. bulloides are so remarkably different, our work points to changes in seasonality as a strong control over the climatic pattern of the North Atlantic area and the marked influence of winter conditions.</t>
  </si>
  <si>
    <t>Univ Cambridge, Dept Earth Sci, Godwin Lab Palaeoclimate Res, Cambridge CB2 3EQ, England</t>
  </si>
  <si>
    <t>Vautravers, MJ (corresponding author), British Antarctic Survey, Cambridge CB3 0ET, England.</t>
  </si>
  <si>
    <t>mava@bas.ac.uk</t>
  </si>
  <si>
    <t>Mleneck-Vautravers, Maryline/0000-0003-2534-219X</t>
  </si>
  <si>
    <t>0883-8305</t>
  </si>
  <si>
    <t>1944-9186</t>
  </si>
  <si>
    <t>Paleoceanography</t>
  </si>
  <si>
    <t>PA3004</t>
  </si>
  <si>
    <t>10.1029/2005PA001144</t>
  </si>
  <si>
    <t>Geosciences, Multidisciplinary; Oceanography; Paleontology</t>
  </si>
  <si>
    <t>Geology; Oceanography; Paleontology</t>
  </si>
  <si>
    <t>070AF</t>
  </si>
  <si>
    <t>WOS:000239491600001</t>
  </si>
  <si>
    <t>Stetzer, O; Möhler, O; Wagner, R; Benz, S; Saathoff, H; Bunz, H; Indris, O</t>
  </si>
  <si>
    <t>Stetzer, O.; Moehler, O.; Wagner, R.; Benz, S.; Saathoff, H.; Bunz, H.; Indris, O.</t>
  </si>
  <si>
    <t>Homogeneous nucleation rates of nitric acid dihydrate (NAD) at simulated stratospheric conditions -: Part I:: Experimental results</t>
  </si>
  <si>
    <t>EXPLAIN DENITRIFICATION; LABORATORY EVIDENCE; ANTARCTIC OZONE; CLOUD PARTICLES; AEROSOLS; ICE; TEMPERATURES; DEPLETION; SPECTRA; INSUFFICIENT</t>
  </si>
  <si>
    <t>The low temperature aerosol chamber AIDA was used to study the nucleation of nitric acid dihydrate (NAD) in super-cooled nitric acid aerosols under simulated stratospheric conditions in the temperature range 192K - 197 K. The nucleating solution droplets had median diameters between 225 and 290 nm and molar fractions of nitric acid between 0.26 and 0.28. Nucleation of solid particles was unambiguously observed in two out of three experiments during time periods of up to five hours. The newly formed crystals could be clearly distinguished from the remaining liquid droplets by their increasing size with an optical particle spectrometer. The solid particles could be unequivocally identified as strongly aspherical nitric acid dihydrate crystals (alpha-NAD) by in-situ FTIR-spectroscopy. From our experimental data set there is no indication of direct nucleation of NAT or a conversion of NAD into NAT while having saturation ratios with respect to NAT of about 20 - 26. The temporal evolutions of the NAD particle concentrations were used to derive individual nucleation rates for NAD. The measured volume nucleation rates ranged from 3.9 x 10(5) cm(-3) s(-1) at 195.8K and X-NA= 0.27 to 1.9 x 10(7) cm(-3) s(-1) at 192.1K and X-NA= 0.28. The corresponding hypothetical surface nucleation rates of 2 x 10(0) to 1 x 10(2) cm(-2) s(-1) are smaller than the parameterization of Tabazadeh et al. ( 2002) by factors between 25 and &gt; 10(3).</t>
  </si>
  <si>
    <t>Swiss Fed Inst Technol, Inst Atmospher &amp; Climat Sci, Zurich, Switzerland; Forschungszentrum Karlsruhe, Inst Meteorol &amp; Klimaforsch, D-76021 Karlsruhe, Germany; Max Planck Inst Kernphys, Abt Atmospharenphys, D-69117 Heidelberg, Germany</t>
  </si>
  <si>
    <t>Swiss Federal Institutes of Technology Domain; ETH Zurich; Helmholtz Association; Karlsruhe Institute of Technology; Max Planck Society</t>
  </si>
  <si>
    <t>Stetzer, O (corresponding author), Swiss Fed Inst Technol, Inst Atmospher &amp; Climat Sci, Zurich, Switzerland.</t>
  </si>
  <si>
    <t>olaf.stetzer@env.ethz.ch</t>
  </si>
  <si>
    <t>Möhler, Ottmar/J-9426-2012; Wagner, Robert/M-6129-2017; Saathoff, Harald/J-8911-2012</t>
  </si>
  <si>
    <t>Möhler, Ottmar/0000-0002-7551-9814; Saathoff, Harald/0000-0002-1301-8010</t>
  </si>
  <si>
    <t>EUROPEAN GEOSCIENCES UNION</t>
  </si>
  <si>
    <t>KATLENBURG-LINDAU</t>
  </si>
  <si>
    <t>MAX-PLANCK-STR 13, 37191 KATLENBURG-LINDAU, GERMANY</t>
  </si>
  <si>
    <t>JUL 24</t>
  </si>
  <si>
    <t>10.5194/acp-6-3023-2006</t>
  </si>
  <si>
    <t>066ZW</t>
  </si>
  <si>
    <t>gold, Green Submitted, Green Published</t>
  </si>
  <si>
    <t>WOS:000239270700001</t>
  </si>
  <si>
    <t>Young, E</t>
  </si>
  <si>
    <t>Young, Emma</t>
  </si>
  <si>
    <t>Ozone hole alters Antarctic sea life</t>
  </si>
  <si>
    <t>NEW SCIENTIST</t>
  </si>
  <si>
    <t>REED BUSINESS INFORMATION LTD</t>
  </si>
  <si>
    <t>SUTTON</t>
  </si>
  <si>
    <t>QUADRANT HOUSE THE QUADRANT, SUTTON SM2 5AS, SURREY, ENGLAND</t>
  </si>
  <si>
    <t>0262-4079</t>
  </si>
  <si>
    <t>NEW SCI</t>
  </si>
  <si>
    <t>New Sci.</t>
  </si>
  <si>
    <t>JUL 22</t>
  </si>
  <si>
    <t>067GP</t>
  </si>
  <si>
    <t>WOS:000239290200011</t>
  </si>
  <si>
    <t>Meure, CM; Etheridge, D; Trudinger, C; Steele, P; Langenfelds, R; van Ommen, T; Smith, A; Elkins, J</t>
  </si>
  <si>
    <t>MacFarling Meure, C.; Etheridge, D.; Trudinger, C.; Steele, P.; Langenfelds, R.; van Ommen, T.; Smith, A.; Elkins, J.</t>
  </si>
  <si>
    <t>Law Dome CO2, CH4 and N2O ice core records extended to 2000 years BP</t>
  </si>
  <si>
    <t>ATMOSPHERIC CO2; PAST MILLENNIUM; METHANE; FIRN; AIR; TEMPERATURES; DELTA-C-13; RESOLUTION; HISTORIES; EMISSIONS</t>
  </si>
  <si>
    <t>New measurements of atmospheric greenhouse gas concentrations in ice from Law Dome, Antarctica reproduce published Law Dome CO2 and CH4 records, extend them back to 2000 years BP, and include N2O. They have very high air age resolution, data density and measurement precision. Firn air measurements span the past 65 years and overlap with the ice core and direct atmospheric observations. Major increases in CO2, CH4 and N2O concentrations during the past 200 years followed a period of relative stability beforehand. Decadal variations during the industrial period include the stabilization of CO2 and slowing of CH4 and N2O growth in the 1940s and 1950s. Variations of up to 10 ppm CO2, 40 ppb CH4 and 10 ppb N2O occurred throughout the preindustrial period. Methane concentrations grew by 100 ppb from AD 0 to 1800, possibly due to early anthropogenic emissions.</t>
  </si>
  <si>
    <t>CSIRO, Marine &amp; Atmospher Res, Aspendale, Vic 3195, Australia; Australian Nucl Sci &amp; Technol Org, Menai, NSW 2234, Australia; NOAA, Earth Syst Res Lab, Boulder, CO 80305 USA; Australian Antarctic Div, Dept Environm &amp; Heritage, Hobart, Tas 7001, Australia; Antarctic Climate &amp; Ecosyst CRC, Hobart, Tas 7001, Australia</t>
  </si>
  <si>
    <t>Commonwealth Scientific &amp; Industrial Research Organisation (CSIRO); Australian Nuclear Science &amp; Technology Organisation; National Oceanic Atmospheric Admin (NOAA) - USA; Australian Antarctic Division; University of Tasmania</t>
  </si>
  <si>
    <t>Meure, CM (corresponding author), CSIRO, Marine &amp; Atmospher Res, Aspendale, Vic 3195, Australia.</t>
  </si>
  <si>
    <t>cec@bluep.com</t>
  </si>
  <si>
    <t>Etheridge, David M/B-7334-2013; van Ommen, Tas D/B-5020-2012; Trudinger, Cathy/A-2532-2008; Steele, Paul/B-3185-2009; Langenfelds, Raymond L/B-5381-2012</t>
  </si>
  <si>
    <t>Trudinger, Cathy/0000-0002-4844-2153</t>
  </si>
  <si>
    <t>JUL 21</t>
  </si>
  <si>
    <t>L14810</t>
  </si>
  <si>
    <t>10.1029/2006GL026152</t>
  </si>
  <si>
    <t>071DF</t>
  </si>
  <si>
    <t>WOS:000239577500005</t>
  </si>
  <si>
    <t>Warren, SG; Brandt, RE; Grenfell, TC</t>
  </si>
  <si>
    <t>Warren, Stephen G.; Brandt, Richard E.; Grenfell, Thomas C.</t>
  </si>
  <si>
    <t>Visible and near-ultraviolet absorption spectrum of ice from transmission of solar radiation into snow</t>
  </si>
  <si>
    <t>APPLIED OPTICS</t>
  </si>
  <si>
    <t>ANTARCTIC SEA-ICE; OPTICAL-PROPERTIES; DEEP ICE; SOUTH-POLE; INDEPENDENT SPHERES; LIGHT-ABSORPTION; ARCTIC SNOW; ALBEDO; SCATTERING; SURFACE</t>
  </si>
  <si>
    <t>Snow is a scattering-dominated medium whose scattering is independent of wavelength at 350-600 nm. The attenuation of solar radiation in snow can be used to infer the spectral absorption coefficient of pure ice, by reference to a known value at 600 nm. The method is applied to clean Antarctic snow; the absorption minimum is at 390 nm, and the inferred absorption coefficient is lower than even the lowest values of the Antarctic Muon and Neutrino Detector Array (AMANDA) experiment on glacier ice: The absorption length is at least 700 m, by comparison with 240 m for AMANDA and 10 m from laboratory attenuation measurements. (c) 2006 Optical Society of America.</t>
  </si>
  <si>
    <t>Univ Washington, Dept Atmospher Sci, Seattle, WA 98195 USA</t>
  </si>
  <si>
    <t>University of Washington; University of Washington Seattle</t>
  </si>
  <si>
    <t>Warren, SG (corresponding author), Univ Washington, Dept Atmospher Sci, Seattle, WA 98195 USA.</t>
  </si>
  <si>
    <t>sgw@atmos.washington.edu</t>
  </si>
  <si>
    <t>OPTICAL SOC AMER</t>
  </si>
  <si>
    <t>2010 MASSACHUSETTS AVE NW, WASHINGTON, DC 20036 USA</t>
  </si>
  <si>
    <t>1559-128X</t>
  </si>
  <si>
    <t>2155-3165</t>
  </si>
  <si>
    <t>APPL OPTICS</t>
  </si>
  <si>
    <t>Appl. Optics</t>
  </si>
  <si>
    <t>JUL 20</t>
  </si>
  <si>
    <t>10.1364/AO.45.005320</t>
  </si>
  <si>
    <t>Optics</t>
  </si>
  <si>
    <t>065TE</t>
  </si>
  <si>
    <t>WOS:000239181600026</t>
  </si>
  <si>
    <t>Watson, T; Nyblade, A; Wiens, DA; Anandakrishnan, S; Benoit, M; Shore, PJ; Voigt, D; VanDecar, J</t>
  </si>
  <si>
    <t>Watson, Timothy; Nyblade, Andrew; Wiens, Douglas A.; Anandakrishnan, Sridhar; Benoit, Margaret; Shore, Patrick J.; Voigt, Donald; VanDecar, John</t>
  </si>
  <si>
    <t>P and S velocity structure of the upper mantle beneath the Transantarctic Mountains, East Antarctic craton, and Ross Sea from travel time tomography</t>
  </si>
  <si>
    <t>East Antarctica; Transantarctic Mountains; upper mantle; seismology : body waves; seismology : lithosphere seismology : tomography</t>
  </si>
  <si>
    <t>FLEXURAL UPLIFT; RIFT; WEST; CRUSTAL; PLATE; ZONE; ATTENUATION; TRANSITION; ANOMALIES; EVOLUTION</t>
  </si>
  <si>
    <t>[1] P and S wave travel times from teleseismic earthquakes recorded by the Transantarctic Mountains Seismic Experiment (TAMSEIS) have been used to tomographically image upper mantle structure beneath portions of the Transantarctic Mountains (TAM), the East Antarctic (EA) craton, and the West Antarctic rift system (WARS) in the vicinity of Ross Island, Antarctica. The TAM form a major tectonic boundary that divides the stable EA craton and the tectonically active WARS. Relative arrival times were determined using a multichannel cross-correlation technique on teleseismic P and S phases from earthquakes with m(b) &gt;= 5.5. 3934 P waves were used from 322 events, and 2244 S waves were used from 168 events. Relative travel time residuals were inverted for upper mantle structure using VanDecar's method. The P wave tomography model reveals a low-velocity anomaly in the upper mantle of approximately delta Vp = -1 to -1.5% in the vicinity of Ross Island extending laterally 50 to 100 km beneath the TAM from the coast, placing the contact between regions of fast and slow velocities well inland from the coast beneath the TAM. The magnitude of the low-velocity anomaly in the P wave model appears to diminish beneath the TAM to the north and south of Ross Island. The depth extent of the low-velocity anomaly is not well constrained, but it probably is confined to depths above similar to 200 km. The S wave model, within resolution limits, is consistent with the P wave model. The low-velocity anomaly within the upper measurements. The presence of a thermal anomaly of this magnitude supports models invoking a thermal buoyancy contribution to flexurally driven TAM uplift, at least in the Ross Island region of the TAM. Because the magnitude of the anomaly to the north and south of Ross Island may diminish, the thermal contribution to the uplift of the TAM could be variable along strike, with the largest contribution in the Ross Island region. The tomography results reveal faster than average velocities beneath East Antarctica, as expected for cratonic upper mantle.</t>
  </si>
  <si>
    <t>Penn State Univ, Dept Geosci, University Pk, PA 16802 USA; Washington Univ, Dept Earth &amp; Planetary Sci, St Louis, MO 63130 USA; Nature, Washington, DC 20005 USA; Carnegie Inst Sci, Dept Terr Magnetism, Washington, DC 20005 USA</t>
  </si>
  <si>
    <t>Pennsylvania Commonwealth System of Higher Education (PCSHE); Pennsylvania State University; Pennsylvania State University - University Park; Washington University (WUSTL); Carnegie Institution for Science</t>
  </si>
  <si>
    <t>Watson, T (corresponding author), Penn State Univ, Dept Geosci, University Pk, PA 16802 USA.</t>
  </si>
  <si>
    <t>andy@geosc.psu.edu</t>
  </si>
  <si>
    <t>Wiens, Douglas A/J-9259-2016; Watson, Timothy J/E-5513-2014; Anandakrishnan, Sridhar/JCN-5026-2023</t>
  </si>
  <si>
    <t>VanDecar, John/0000-0003-3671-4294</t>
  </si>
  <si>
    <t>Q07005</t>
  </si>
  <si>
    <t>10.1029/2005GC001238</t>
  </si>
  <si>
    <t>071CX</t>
  </si>
  <si>
    <t>WOS:000239576700002</t>
  </si>
  <si>
    <t>Huguet, C; Kim, JH; Damste, JSS; Schouten, S</t>
  </si>
  <si>
    <t>Huguet, Carme; Kim, Jung-Hyun; Sinninghe Damste, Jaap S.; Schouten, Stefan</t>
  </si>
  <si>
    <t>Reconstruction of sea surface temperature variations in the Arabian Sea over the last 23 kyr using organic proxies (TEX86 and U37K′)</t>
  </si>
  <si>
    <t>MEMBRANE-LIPIDS; FORAMINIFERAL MG/CA; PLANKTONIC ARCHAEA; EARLY HOLOCENE; CLIMATE-CHANGE; INDIAN-OCEAN; MONSOON; WATER; PALEOTEMPERATURE; ATLANTIC</t>
  </si>
  <si>
    <t>[ 1] Two sediment cores from the western Arabian Sea, NIOP905 and 74KL, were analyzed to determine sea surface temperature (SST) variations over the last 23 kyr. Two organic molecular SST proxies were used, the well-established U-37(K') based on long-chain unsaturated ketones synthesized by haptophyte algae and the newly proposed TEX86 derived from the membrane lipids of Crenarchaeota. Comparison of NIOP905 and 74KL core top data with present-day SST ( 0 - 10 m) values indicates that both proxies yield temperatures similar to local annual mean SSTs. However, TEX86 and U-37(K') SST down-core records derived from the same cores differ in magnitude and phasing. The alkenone SST record of NIOP905 shows small changes in SST ( similar to 0.5 degrees C) over the last 23 kyr, while that of core 74KL shows a similar to 2 degrees C increase from the Last Glacial Maximum (LGM) (23-19 calendar (cal) kyr B. P.) through the Holocene ( the last 11.5 cal kyr B. P.) synchronous with changes in the Northern Hemisphere. In contrast, the TEX86 records of both cores show a large increase in SST from 22 degrees-23 degrees C in the LGM to 28 degrees - 30 degrees C during Termination I ( 19 - 11.5 cal kyr B. P.), decreasing to present-day annual means of similar to 26 degrees C. A cold phase between 14.5 and 12 cal kyr B. P. that may correspond to the Antarctic cold reversal is also observed. This implies a Southern Hemisphere control on tropical SST reconstructed by the TEX86, possibly related to SW monsoon. Our results suggest that the application of both TEX86 and U-37(K') give different but complementary information on SST developments in past marine environments.</t>
  </si>
  <si>
    <t>Royal Netherlands Inst Sea Res NIOZ, Dept Marine Biogeochem &amp; Toxicol, NL-1790 AB Den Burg, Netherlands; Univ Perpignan, Fachbereich Geowissensch 5, F-66860 Perpignan, France</t>
  </si>
  <si>
    <t>Utrecht University; Royal Netherlands Institute for Sea Research (NIOZ); Universite Perpignan Via Domitia</t>
  </si>
  <si>
    <t>Huguet, C (corresponding author), Royal Netherlands Inst Sea Res NIOZ, Dept Marine Biogeochem &amp; Toxicol, POB 59, NL-1790 AB Den Burg, Netherlands.</t>
  </si>
  <si>
    <t>huguet@nioz.nl</t>
  </si>
  <si>
    <t>Huguet, Carme/C-6918-2013; Sinninghe Damste, Jaap/F-6128-2011</t>
  </si>
  <si>
    <t>Sinninghe Damste, Jaap/0000-0002-8683-1854; Huguet, Carme/0000-0001-8025-2010</t>
  </si>
  <si>
    <t>PA3003</t>
  </si>
  <si>
    <t>10.1029/2005PA001215</t>
  </si>
  <si>
    <t>071EV</t>
  </si>
  <si>
    <t>WOS:000239582100001</t>
  </si>
  <si>
    <t>Figueiras, FG; Zdanowski, MK; Crespo, BG</t>
  </si>
  <si>
    <t>Figueiras, F. G.; Zdanowski, M. K.; Crespo, B. G.</t>
  </si>
  <si>
    <t>Spatial variability in bacterial abundance and other microbial components in the NW Iberian margin during relaxation of a spring upwelling event</t>
  </si>
  <si>
    <t>AQUATIC MICROBIAL ECOLOGY</t>
  </si>
  <si>
    <t>bacterial abundance; phytoplankton; upwelling relaxation; NW Iberia</t>
  </si>
  <si>
    <t>DISSOLVED ORGANIC-CARBON; HYDROGRAPHIC CONDITIONS; MARINE-BACTERIA; AQUATIC SYSTEMS; SURFACE WATERS; PACIFIC-OCEAN; SEA-WATER; PHYTOPLANKTON; SPAIN; RIA</t>
  </si>
  <si>
    <t>The spatial distribution of heterotrophic bacterioplankton abundance (BA) and bacterial colony forming units (CFU) plus additional biological (abundance of autotrophic and heterotrophic pico- and nanoplankton, diatoms and chlorophyll a concentration), physical (temperature and salinity) and chemical (nutrient concentrations) variables were investigated along the Galician coast (NW Iberia) after the cessation of a strong spring upwelling event. BA and abundance of autotrophic and heterotrophic pico- and nanoplankton tended to increase with distance from the coast, while diatoms were more abundant near to the coast. Over 70% of the variance in BA could be explained by a regression equation with 3 variables, in which abundance of autotrophic nanoflagellates (61 %) and abundance of heterotrophic nanoflagellates (7 %) accounted for 68 % of the total explained variability. The remaining 2 % was related to chlorophyll a variations. Variability in CFU abundance (67 %) was attributable to a negative relationship with salinity and to a lesser but significant degree by a positive relationship with diatom abundance. These data suggest that a number of mechanisms regulated bacterial abundance in the NW Iberian margin after spring upwelling: CFU was related to continental influence and diatoms, and BA was associated with the biomass of autotrophic nanoflagellates. The relationships between BA, autotrophic nanoflagellates (ANF) and chlorophyll a (Chl) in the oceanic samples suggest that a change from bottom-up to top-down control of BA would occur at concentrations higher than 2500 ANF ml(-1) and 1.72 mg Chl m(-3).</t>
  </si>
  <si>
    <t>CSIC, Inst Invest Marinas, Vigo 36208, Spain; Polish Acad Sci, Dept Antarctic Biol, PL-02141 Warsaw, Poland</t>
  </si>
  <si>
    <t>Consejo Superior de Investigaciones Cientificas (CSIC); CSIC - Instituto de Investigaciones Marinas (IIM); Polish Academy of Sciences</t>
  </si>
  <si>
    <t>Figueiras, FG (corresponding author), CSIC, Inst Invest Marinas, Eduardo Cabello 6, Vigo 36208, Spain.</t>
  </si>
  <si>
    <t>paco@iim.csic.es</t>
  </si>
  <si>
    <t>Figueiras, Francisco/A-5034-2008</t>
  </si>
  <si>
    <t>Figueiras, Francisco/0000-0003-1810-4935</t>
  </si>
  <si>
    <t>INTER-RESEARCH</t>
  </si>
  <si>
    <t>OLDENDORF LUHE</t>
  </si>
  <si>
    <t>NORDBUNTE 23, D-21385 OLDENDORF LUHE, GERMANY</t>
  </si>
  <si>
    <t>0948-3055</t>
  </si>
  <si>
    <t>1616-1564</t>
  </si>
  <si>
    <t>AQUAT MICROB ECOL</t>
  </si>
  <si>
    <t>Aquat. Microb. Ecol.</t>
  </si>
  <si>
    <t>JUL 19</t>
  </si>
  <si>
    <t>10.3354/ame043255</t>
  </si>
  <si>
    <t>Ecology; Marine &amp; Freshwater Biology; Microbiology</t>
  </si>
  <si>
    <t>Environmental Sciences &amp; Ecology; Marine &amp; Freshwater Biology; Microbiology</t>
  </si>
  <si>
    <t>074FC</t>
  </si>
  <si>
    <t>WOS:000239797100005</t>
  </si>
  <si>
    <t>Feltham, DL; Untersteiner, N; Wettlaufer, JS; Worster, MG</t>
  </si>
  <si>
    <t>Feltham, D. L.; Untersteiner, N.; Wettlaufer, J. S.; Worster, M. G.</t>
  </si>
  <si>
    <t>Sea ice is a mushy layer</t>
  </si>
  <si>
    <t>SALINITY PROFILE; MODEL; SOLIDIFICATION; EVOLUTION; CONVECTION; GROWTH; ALLOY; FLOW; MELT</t>
  </si>
  <si>
    <t>Sea ice is a two-phase, two-component, reactive porous medium: an example of what is known in other contexts as a mushy layer. The fundamental conservation laws underlying the mathematical description of mushy layers provide a robust foundation for the prediction of sea-ice evolution. Here we show that the general equations describing mushy layers reduce to the model of Maykut and Untersteiner ( 1971) under the same approximations employed therein.</t>
  </si>
  <si>
    <t>UCL, Dept Earth Sci, Ctr Polar Observat &amp; Modelling, London WC1E 6BT, England; British Antarctic Survey, Cambridge CB3 0ET, England; Univ Washington, Dept Atmospher Sci, Seattle, WA 98195 USA; Yale Univ, Dept Geol &amp; Geophys, New Haven, CT 06520 USA; Yale Univ, Dept Phys, New Haven, CT 06520 USA; Univ Cambridge, Inst Theoret Geophys, Dept Appl Math &amp; Theoret Phys, Cambridge CB3 0WA, England</t>
  </si>
  <si>
    <t>University of London; University College London; UK Research &amp; Innovation (UKRI); Natural Environment Research Council (NERC); NERC British Antarctic Survey; University of Washington; University of Washington Seattle; Yale University; Yale University; University of Cambridge</t>
  </si>
  <si>
    <t>Feltham, DL (corresponding author), UCL, Dept Earth Sci, Ctr Polar Observat &amp; Modelling, Pearson Bldg,Gower St, London WC1E 6BT, England.</t>
  </si>
  <si>
    <t>john.wettlaufer@yale.edu</t>
  </si>
  <si>
    <t>Wettlaufer, John/AAZ-9949-2021</t>
  </si>
  <si>
    <t>Feltham, Daniel/0000-0003-2289-014X; Worster, Michael Grae/0000-0002-9248-2144</t>
  </si>
  <si>
    <t>Natural Environment Research Council [bas010013] Funding Source: researchfish; NERC [bas010013] Funding Source: UKRI</t>
  </si>
  <si>
    <t>L14501</t>
  </si>
  <si>
    <t>10.1029/2006GL026290</t>
  </si>
  <si>
    <t>071DB</t>
  </si>
  <si>
    <t>Bronze, Green Accepted</t>
  </si>
  <si>
    <t>WOS:000239577100005</t>
  </si>
  <si>
    <t>Lau, EM; Avery, SK; Avery, JP; Janches, D; Palo, SE; Schafer, R; Makarov, NA</t>
  </si>
  <si>
    <t>Lau, Elias M.; Avery, Susan K.; Avery, James P.; Janches, Diego; Palo, Scott E.; Schafer, Robert; Makarov, Nikolai A.</t>
  </si>
  <si>
    <t>Statistical characterization of the meteor trail distribution at the South Pole as seen by a VHF interferometric meteor radar</t>
  </si>
  <si>
    <t>RADIO SCIENCE</t>
  </si>
  <si>
    <t>MESOSPHERIC WIND MEASUREMENTS; LOWER THERMOSPHERE; CHRISTMAS ISLAND; COLLECTION SYSTEM; ECHO DETECTION; ARCTIC MESOSPHERE; BUCKLAND PARK; MEAN WINDS; OSCILLATION; WAVES</t>
  </si>
  <si>
    <t>[ 1] AVHF meteor radar system was installed at the geographical South Pole in 2001. The purpose of this system is to measure the horizontal wind field in the mesosphere lower thermosphere (MLT) region and to understand the large-scale dynamics of the Antarctic polar region. The radar operated for a few months in 2001 and with minor interruptions since that time. In this paper we will describe the meteor radar system, the data detection and collection process, and the postprocessing software that was developed to extract information from the meteor echoes collected with the interferometer that is part of the radar system. Finally, the main features of the meteor distribution will be presented and discussed. Our results show that the meteor activity peaks during the Antarctic summer. Furthermore, it occurs mostly in a small region around the ecliptic plane roughly similar to 20 degrees wide in terms of elevation angle spread.</t>
  </si>
  <si>
    <t>Univ Colorado, Cooperat Inst Res Environm Sci, Boulder, CO 80309 USA; Univ Colorado, Dept Elect &amp; Comp Engn, Boulder, CO 80309 USA; NW Res Associates, CoRa Div, Boulder, CO 80301 USA; Univ Colorado, Dept Aerosp Engn, Boulder, CO 80309 USA; Sci Prod Assoc TYPHOON, Inst Expt Meteorol, Obninsk 249020, Russia</t>
  </si>
  <si>
    <t>University of Colorado System; University of Colorado Boulder; University of Colorado System; University of Colorado Boulder; NorthWest Research Associates; University of Colorado System; University of Colorado Boulder</t>
  </si>
  <si>
    <t>Lau, EM (corresponding author), Univ Colorado, Cooperat Inst Res Environm Sci, 216 UCB, Boulder, CO 80309 USA.</t>
  </si>
  <si>
    <t>elias.lau@colorado.edu</t>
  </si>
  <si>
    <t>Schafer, Robert/JEP-6432-2023; Janches, Diego/D-4674-2012</t>
  </si>
  <si>
    <t>PALO, SCOTT/0000-0002-4729-4929; Janches, Diego/0000-0001-8615-5166; Schafer, Robert/0000-0002-3204-8768</t>
  </si>
  <si>
    <t>0048-6604</t>
  </si>
  <si>
    <t>1944-799X</t>
  </si>
  <si>
    <t>RADIO SCI</t>
  </si>
  <si>
    <t>Radio Sci.</t>
  </si>
  <si>
    <t>RS4007</t>
  </si>
  <si>
    <t>10.1029/2005RS003247</t>
  </si>
  <si>
    <t>Astronomy &amp; Astrophysics; Geochemistry &amp; Geophysics; Meteorology &amp; Atmospheric Sciences; Remote Sensing; Telecommunications</t>
  </si>
  <si>
    <t>071EX</t>
  </si>
  <si>
    <t>WOS:000239582300001</t>
  </si>
  <si>
    <t>Zdanowicz, C; Hall, G; Vaive, J; Amelin, Y; Percival, J; Girard, I; Biscaye, P; Bory, A</t>
  </si>
  <si>
    <t>Zdanowicz, Christian; Hall, Gwendy; Vaive, Judy; Amelin, Yuri; Percival, Jeanne; Girard, Isabelle; Biscaye, Pierre; Bory, Aloys</t>
  </si>
  <si>
    <t>Asian dustfall in the St. Elias Mountains, Yukon, Canada</t>
  </si>
  <si>
    <t>Asian dust; mineral aerosols; north Pacific; snow chemistry; geochemical fluxes</t>
  </si>
  <si>
    <t>LONG-RANGE TRANSPORT; RARE-EARTH-ELEMENT; LOESS PLATEAU; MINERAL DUST; CONTINENTAL-CRUST; NORTHERN CHINA; TRACE-ELEMENTS; SOURCE REGIONS; DESERT SAND; ICE CORE</t>
  </si>
  <si>
    <t>In April 2001, a major atmospheric dustfall event occurred in the St. Elias Mountains, Yukon Territory, Canada. Field samples were collected and analyzed for particle size, mineralogy, chemical composition and Sr, Nd and Pb isotopes. Dusts found above similar to 3000 m had their source in the Gobi desert region of northern China and Inner Mongolia, and were transported to the Yukon following a series of major dust storms that took place in early April. Dusts found below 3000 in had local (Yukon) or mixed source(s). The Asian dusts had a modal volume diameter of similar to 4 mu m typical of far-traveled mineral aerosols. However larger (&gt; 10 mu m) particles were also found at similar to 5000 m, suggesting a very rapid trans-Pacific transport in the mid-troposphere. We estimate that the April 2001 event deposited from 2 5500 to 6335 tons of dust over an area of 21,000 km in the southwestern Yukon, most of which probably fell within a week. Our findings are consistent with instrumental observations and model simulations of the April 2001 event. While the dust cloud was reportedly mixed with volatile pollutants from Asia, we found no evidence of metal pollution associated with the dustfall in the Yukon. Our findings contribute to clarify the dynamics and the geochemical impact of Asian dust long-range transport events, and to better estimate eolian fluxes of dustborne elements (e.g., Fe) to the Ocean associated with such events. They may also assist in identifying past Asian dust events in ice cores drilled from the St. Elias Mountains icefields, to develop a long-term record of their frequency, magnitude and source(s). Crown Copyright (c) 2006 Published by Elsevier Inc. All rights reserved.</t>
  </si>
  <si>
    <t>Geol Survey Canada, Ottawa, ON K1A 0E8, Canada; Columbia Univ, Lamont Doherty Geol Observ, Palisades, NY 10964 USA; British Antarctic Survey, Cambridge CB3 0ET, England</t>
  </si>
  <si>
    <t>Natural Resources Canada; Lands &amp; Minerals Sector - Natural Resources Canada; Geological Survey of Canada; Columbia University; UK Research &amp; Innovation (UKRI); Natural Environment Research Council (NERC); NERC British Antarctic Survey</t>
  </si>
  <si>
    <t>Zdanowicz, C (corresponding author), Geol Survey Canada, 601 Booth St, Ottawa, ON K1A 0E8, Canada.</t>
  </si>
  <si>
    <t>czdanowi@nrcan.gc.ca</t>
  </si>
  <si>
    <t>Zdanowicz, Christian/0000-0002-1045-5063; BORY, Aloys/0000-0002-0251-6372</t>
  </si>
  <si>
    <t>JUL 15</t>
  </si>
  <si>
    <t>10.1016/j.gca.2006.05.005</t>
  </si>
  <si>
    <t>066TE</t>
  </si>
  <si>
    <t>WOS:000239252200001</t>
  </si>
  <si>
    <t>Kim, Y; Choi, W; Lee, KM; Park, JH; Massie, ST; Sasano, Y; Nakajima, H; Yokota, T</t>
  </si>
  <si>
    <t>Kim, Y.; Choi, W.; Lee, K. -M.; Park, J. H.; Massie, S. T.; Sasano, Y.; Nakajima, H.; Yokota, T.</t>
  </si>
  <si>
    <t>Polar stratospheric clouds observed by the ILAS-II in the Antarctic region: Dual compositions and variation of compositions during June to August of 2003</t>
  </si>
  <si>
    <t>AIRBORNE LIDAR OBSERVATIONS; INFRARED OPTICAL-CONSTANTS; AEROSOL SPECTROSCOPY; LIQUID PARTICLES; SULFURIC-ACID; POAM II; TEMPERATURE; OZONE; DEPLETION; GROWTH</t>
  </si>
  <si>
    <t>[1] Compositions and effective radii of polar stratospheric clouds (PSCs) in the Antarctic region from 5 June to 28 August of 2003 are determined using transmittance data from the Improved Limb Atmospheric Spectrometer-II (ILAS-II). Dual compositions are derived for 83 Antarctic cases. The primary components are beta-NAT (beta form of nitric acid trihydrate), NAW ( nitric acid water, or SBS, supercooled binary solution), and ICE. Other minor composition components are LTA ( liquid ternary aerosol, or STS, supercooled ternary solution), alpha-NAT (alpha form of NAT), NAD ( nitric acid dihydrate), and SAW ( sulfuric acid water). Three single compositions are found; that is, beta-NAT particles were observed from 11 June to 12 August, NAW particles were observed from 28 June to 24 July, and ICE particles were observed from 28 July to 25 August. During this period, dual compositions are also found, i.e., NAW + beta-NAT, beta-NAT + ICE, NAW + ICE, beta-NAT + NAD, beta-NAT + LTA, and beta-NAT + SAW. For this observation period, temperatures varied from 195 K to 180 K while measurements were made progressively in time as latitude varied from 65 degrees S to 80 degrees S. This mixture of compositions is assumed to be either two separate patches of PSCs or a mixture of two different types along the line of sight. The feasibility of the coexistence of dual compositions in a PSC and importance of determination of the PSC particle type for the study of heterogeneous chemistry for ozone are briefly discussed.</t>
  </si>
  <si>
    <t>Seoul Natl Univ, Sch Earth &amp; Environm Sci, Seoul 151747, South Korea; Kyungpook Natl Univ, Dept Astron &amp; Atmospher Sci, Taegu 702701, South Korea; Natl Ctr Atmospher Res, Div Atmospher Chem, Boulder, CO 80307 USA; Natl Inst Environm Studies, Tsukuba, Ibaraki 3058506, Japan</t>
  </si>
  <si>
    <t>Seoul National University (SNU); Kyungpook National University; National Center Atmospheric Research (NCAR) - USA; National Institute for Environmental Studies - Japan</t>
  </si>
  <si>
    <t>Kim, Y (corresponding author), Meteorol Res Inst, Seoul, South Korea.</t>
  </si>
  <si>
    <t>wchoi@snu.ac.kr</t>
  </si>
  <si>
    <t>Sasano, Yasuhiro/AAL-8184-2020; Nakajima, Hideaki/M-8845-2019</t>
  </si>
  <si>
    <t>Sasano, Yasuhiro/0000-0001-7470-5642; Nakajima, Hideaki/0000-0002-2742-1230</t>
  </si>
  <si>
    <t>D13</t>
  </si>
  <si>
    <t>D13S90</t>
  </si>
  <si>
    <t>10.1029/2005JD006445</t>
  </si>
  <si>
    <t>066GI</t>
  </si>
  <si>
    <t>WOS:000239217300004</t>
  </si>
  <si>
    <t>Payne, T</t>
  </si>
  <si>
    <t>Payne, Tony</t>
  </si>
  <si>
    <t>Evolution of the Antarctic Ice Sheet: new understanding and challenges - Preface</t>
  </si>
  <si>
    <t>PHILOSOPHICAL TRANSACTIONS OF THE ROYAL SOCIETY A-MATHEMATICAL PHYSICAL AND ENGINEERING SCIENCES</t>
  </si>
  <si>
    <t>Univ Bristol, Ctr Polar Observat Modelling, Bristol BS8 1SS, Avon, England</t>
  </si>
  <si>
    <t>University of Bristol</t>
  </si>
  <si>
    <t>Payne, T (corresponding author), Univ Bristol, Ctr Polar Observat Modelling, Bristol BS8 1SS, Avon, England.</t>
  </si>
  <si>
    <t>a.j.payne@bristol.ac.uk</t>
  </si>
  <si>
    <t>payne, antony/A-8916-2008</t>
  </si>
  <si>
    <t>payne, antony/0000-0001-8825-8425</t>
  </si>
  <si>
    <t>ROYAL SOCIETY</t>
  </si>
  <si>
    <t>6-9 CARLTON HOUSE TERRACE, LONDON SW1Y 5AG, ENGLAND</t>
  </si>
  <si>
    <t>1364-503X</t>
  </si>
  <si>
    <t>PHILOS T R SOC A</t>
  </si>
  <si>
    <t>Philos. Trans. R. Soc. A-Math. Phys. Eng. Sci.</t>
  </si>
  <si>
    <t>10.1098/rsta.2006.1789</t>
  </si>
  <si>
    <t>062KZ</t>
  </si>
  <si>
    <t>WOS:000238944500001</t>
  </si>
  <si>
    <t>Bindschadler, R</t>
  </si>
  <si>
    <t>Bindschadler, Robert</t>
  </si>
  <si>
    <t>The environment and evolution of the West Antarctic ice sheet: setting the stage</t>
  </si>
  <si>
    <t>Royal-Society Discussion Meeting on Evolution of the Antarctic Ice Sheet</t>
  </si>
  <si>
    <t>OCT 17-18, 2005</t>
  </si>
  <si>
    <t>London, ENGLAND</t>
  </si>
  <si>
    <t>West Antarctica; ice sheet; glaciology; ice sheet dynamics</t>
  </si>
  <si>
    <t>STREAM-B; PINE ISLAND; SIPLE DOME; BENEATH; VARIABILITY; SHELVES; DISCHARGE; RETREAT; MARGIN</t>
  </si>
  <si>
    <t>The West Antarctic ice sheet is the last ice sheet of the type cradled in a warm, marine geologic basin. Its perimeter stretches into the surrounding seas allowing warmer ocean waters to reach the undersides of its floating ice shelves and its relatively low surface elevation permits snow-carrying storms to extend well into its interior. This special environment has given rise to theories of impending collapse and for the past quarter-century has challenged researchers who seek a quantitative prediction of its future behaviour and the corresponding effect on sea level. Observations confirm changes on a variety of time scales from the quaternary to less than a minute. The dynamics of the ice sheet involve the complex interaction of ice that is warm at its base and cold along the margins of ice streams; subglacial till that is composed of a combination of marine sediment and eroded sedimentary rocks; and water that moves primarily between the ice and bed, but whose flow direction can differ from the direction of ice motion. The pressure of the water system is often sufficient to float the ice sheet locally and small changes in the amount of water in the till can cause it to rapidly switch from very weak to very stiff.</t>
  </si>
  <si>
    <t>NASA, Goddard Space Flight Ctr, Hydrospher &amp; Biospher Sci Lab, Greenbelt, MD 20771 USA</t>
  </si>
  <si>
    <t>National Aeronautics &amp; Space Administration (NASA); NASA Goddard Space Flight Center</t>
  </si>
  <si>
    <t>Bindschadler, R (corresponding author), NASA, Goddard Space Flight Ctr, Hydrospher &amp; Biospher Sci Lab, Greenbelt, MD 20771 USA.</t>
  </si>
  <si>
    <t>robert.a.bindschadler@nasa.gov</t>
  </si>
  <si>
    <t>ROYAL SOC</t>
  </si>
  <si>
    <t>1471-2962</t>
  </si>
  <si>
    <t>10.1098/rsta.2006.1790</t>
  </si>
  <si>
    <t>WOS:000238944500002</t>
  </si>
  <si>
    <t>Sugden, DE; Bentley, MJ; Cofaigh, CO</t>
  </si>
  <si>
    <t>Sugden, David E.; Bentley, Michael J.; O Cofaigh, Colm</t>
  </si>
  <si>
    <t>Geological and geomorphological insights into Antarctic ice sheet evolution</t>
  </si>
  <si>
    <t>Antarctic ice sheet; glacial history; cosmogenic isotopes; Quaternary; marine geology</t>
  </si>
  <si>
    <t>LAST GLACIAL MAXIMUM; SEA-FLOOR EVIDENCE; MARIE-BYRD-LAND; TRANSANTARCTIC MOUNTAINS; COSMOGENIC NUCLIDES; HOLOCENE RETREAT; VICTORIA LAND; DRY VALLEYS; SHELF; HISTORY</t>
  </si>
  <si>
    <t>Technical advances in the study of ice-free parts of Antarctica can provide quantitative records that are useful for constraining and refining models of ice sheet evolution and behaviour. Such records improve our understanding of system trajectory, influence the questions we ask about system stability and help to define the ice-sheet processes that are relevant on different time-scales. Here, we illustrate the contribution of cosmogenic isotope analysis of exposed bedrock surfaces and marine geophysical surveying to the understanding of Antarctic ice sheet evolution on a range of time-scales. In the Dry Valleys of East Antarctica, 3 He dating of subglacial flood deposits that are now exposed on mountain summits provide evidence of an expanded and thicker Mid-Miocene ice sheet. The survival of surface boulders for approximately 14 Myr, the oldest yet measured, demonstrates exceptionally low rates of subsequent erosion and points to the persistence and stability of the dry polar desert climate since that time. Increasingly, there are constraints on West Antarctic ice sheet fluctuations during Quaternary glacial cycles. In the Sarnoff Mountains of Marie Byrd Land in West Antarctica, Be-10 and Al-26 cosmogenic isotope analysis of glacial erratics and bedrock reveal steady thinning of the ice sheet from 10 400 years ago to the present, probably as a result of grounding line retreat. In the Antarctic Peninsula, offshore analysis reveals an extensive ice sheet at the last glacial maximum. Based on radiocarbon dating, deglaciation began by 17 000 cal. yr BP and was complete by 9500 cal yr BP. Deglaciation of the west and east sides of the Antarctic Peninsula ice sheet occurred at different times and rates, but was largely complete by the Early Holocene. At that time ice shelves were less extensive on the west side of the Antarctic Peninsula than they are today. The message from the past is that individual glacier drainage basins in Antarctica respond in different and distinctive ways to global climate change, depending on the link between regional topography and climate setting.</t>
  </si>
  <si>
    <t>Univ Edinburgh, Sch Geosci, Inst Geog, Edinburgh EH9 3JW, Midlothian, Scotland; Univ Durham, Dept Geog, Durham DH1 3LE, England</t>
  </si>
  <si>
    <t>University of Edinburgh; Durham University</t>
  </si>
  <si>
    <t>Sugden, DE (corresponding author), Univ Edinburgh, Sch Geosci, Inst Geog, W Mains Rd, Edinburgh EH9 3JW, Midlothian, Scotland.</t>
  </si>
  <si>
    <t>des@geo.ed.ac.uk</t>
  </si>
  <si>
    <t>Bentley, Michael J/F-7386-2011</t>
  </si>
  <si>
    <t>Bentley, Michael J/0000-0002-2048-0019</t>
  </si>
  <si>
    <t>10.1098/rsta.2006.1791</t>
  </si>
  <si>
    <t>WOS:000238944500003</t>
  </si>
  <si>
    <t>Wingham, DJ; Shepherd, A; Muir, A; Marshall, GJ</t>
  </si>
  <si>
    <t>Wingham, D. J.; Shepherd, A.; Muir, A.; Marshall, G. J.</t>
  </si>
  <si>
    <t>Mass balance of the Antarctic ice sheet</t>
  </si>
  <si>
    <t>Antarctica; sea level; mass balance; altimetry</t>
  </si>
  <si>
    <t>WEST ANTARCTICA; POLAR ICE; VARIABILITY; PENINSULA; CLIMATE; OCEAN</t>
  </si>
  <si>
    <t>The Antarctic contribution to sea-level rise has long been uncertain. While regional variability in ice dynamics has been revealed, a picture of mass changes throughout the continental ice sheet is lacking. Here, we use satellite radar altimetry to measure the elevation change of 72% of the grounded ice sheet during the period 1992-2003. Depending on the density of the snow giving rise to the observed elevation fluctuations, the ice sheet mass trend falls in the range -5-+85Gt yr(-1). We find that data from climate model reanalyses are not able to characterise the contemporary snowfall fluctuation with useful accuracy and our best estimate of the overall mass trend-growth of 27 +/- 29 Gt yr(-1) -is based on an assessment of the expected snowfall variability. Mass gains from accumulating snow, particularly on the Antarctic Peninsula and within East Antarctica, exceed the ice dynamic mass loss from West Antarctica. The result exacerbates the difficulty of explaining twentieth century sea-level rise.</t>
  </si>
  <si>
    <t>UCL, Ctr Polar Observat &amp; Modelling, London WC1E 6BT, England; Univ Cambridge, Scott Polar Res Inst, Ctr Polar Observat &amp; Modelling, Cambridge CB2 1ER, England; British Antarctic Survey, Cambridge CB3 0ET, England</t>
  </si>
  <si>
    <t>University of London; University College London; University of Cambridge; UK Research &amp; Innovation (UKRI); Natural Environment Research Council (NERC); NERC British Antarctic Survey</t>
  </si>
  <si>
    <t>Wingham, DJ (corresponding author), UCL, Ctr Polar Observat &amp; Modelling, Gower St, London WC1E 6BT, England.</t>
  </si>
  <si>
    <t>duncan.wingham@cpom.ucl.ac.uk</t>
  </si>
  <si>
    <t>Shepherd, Andrew/0000-0002-4914-1299; Muir, Alan/0000-0001-7754-088X</t>
  </si>
  <si>
    <t>Natural Environment Research Council [bas010014] Funding Source: researchfish; NERC [bas010014] Funding Source: UKRI</t>
  </si>
  <si>
    <t>10.1098/rsta.2006.1792</t>
  </si>
  <si>
    <t>Green Accepted</t>
  </si>
  <si>
    <t>WOS:000238944500004</t>
  </si>
  <si>
    <t>Rignot, E</t>
  </si>
  <si>
    <t>Rignot, Eric</t>
  </si>
  <si>
    <t>Changes in ice dynamics and mass balance of the Antarctic ice sheet</t>
  </si>
  <si>
    <t>Antarctica; interferometry; Southern Ocean; polar climate</t>
  </si>
  <si>
    <t>PINE ISLAND GLACIER; AMUNDSEN SEA SECTOR; WEST ANTARCTICA; BREAK-UP; CLIMATE VARIABILITY; POLAR ICE; SHELF; PENINSULA; GREENLAND; RETREAT</t>
  </si>
  <si>
    <t>The concept that the Antarctic ice sheet changes with eternal slowness has been challenged by recent observations from satellites. Pronounced regional warming in the Antarctic Peninsula triggered ice shelf collapse, which led to a 10-fold increase in glacier flow and rapid ice sheet retreat. This chain of events illustrated the vulnerability of ice shelves to climate warming and their buffering role on the mass balance of Antarctica. In West Antarctica, the Pine Island Bay sector is draining far more ice into the ocean than is stored upstream from snow accumulation. This sector could raise sea level by I m and trigger widespread retreat of ice in West Antarctica. Pine Island Glacier accelerated 38% since 1975, and most of the speed up took place over the last decade. Its neighbour Thwaites Glacier is widening up and may double its width when its weakened eastern ice shelf breaks up. Widespread acceleration in this sector may be caused by glacier ungrounding from ice shelf melting by an ocean that has recently warmed by 0.3 degrees C. In contrast, glaciers buffered from oceanic change by large ice shelves have only small contributions to sea level. In East Antarctica, many glaciers are close to a state of mass balance, but sectors grounded well below sea level, such as Cook Ice Shelf, Ninnis/Mertz, Frost and Totten glaciers, are thinning and losing mass. Hence, East Antarctica is not immune to changes.</t>
  </si>
  <si>
    <t>CALTECH, Jet Prop Lab, Pasadena, CA 91109 USA</t>
  </si>
  <si>
    <t>California Institute of Technology; National Aeronautics &amp; Space Administration (NASA); NASA Jet Propulsion Laboratory (JPL)</t>
  </si>
  <si>
    <t>Rignot, E (corresponding author), CALTECH, Jet Prop Lab, 4800 Oak Grove Dr,MS 300-319, Pasadena, CA 91109 USA.</t>
  </si>
  <si>
    <t>eric.rignot@jpl.nasa.gov</t>
  </si>
  <si>
    <t>Rignot, Eric/A-4560-2014</t>
  </si>
  <si>
    <t>Rignot, Eric/0000-0002-3366-0481</t>
  </si>
  <si>
    <t>10.1098/rsta.2006.1793</t>
  </si>
  <si>
    <t>WOS:000238944500005</t>
  </si>
  <si>
    <t>Jacobs, S</t>
  </si>
  <si>
    <t>Jacobs, Stan</t>
  </si>
  <si>
    <t>Observations of change in the Southern Ocean</t>
  </si>
  <si>
    <t>ocean freshening and warming; decadal variability; sea ice area and extent; Antarctic ice sheet; ice shelves and icebergs; sea-level rise</t>
  </si>
  <si>
    <t>ANTARCTIC ICE-SHEET; SEA-LEVEL RISE; MASS-BALANCE; IN-SITU; TEMPERATURE; CLIMATE; VARIABILITY; SHELF; SATELLITE; SALINITY</t>
  </si>
  <si>
    <t>The Southern Ocean has been in a state of disequilibrium with its atmosphere and cryosphere during recent decades. Ocean station and drifting float observations have revealed rising temperatures in the upper 3000 m. Salinity has declined in intermediate waters and more rapidly in the sparsely sampled high latitudes. Dissolved oxygen levels may also have decreased, but measurement accuracy is inconsistent. Sea ice area increased from 1979 to 1998, particularly in the Ross Sea, while a decline in ice extent since the early 1970s has been led by the Amundsen-Bellingshausen sector. Fresher waters with lower oxygen isotope content on the Pacific-Antarctic continental shelf are consistent with increased melting of continental ice. Newly forming bottom water has become colder and less salty downstream from that region, but generally warmer in the Weddell Sea. Many ice shelves have retreated or thinned, but others have grown and no trend is apparent in the large iceberg calving rate. Warming and isotherm shoaling within the polar gyres may result in part from changes in the Southern Annular Mode, which could facilitate deep-water access to the continental shelves. Sea-level rise over the past half century has a strong eustatic component and has recently accelerated. Observations over longer periods and with better spatial coverage are needed to better understand the processes causing these changes and their links to the Antarctic ice sheet.</t>
  </si>
  <si>
    <t>Columbia Univ, Lamont Doherty Earth Observ, Palisades, NY 10964 USA</t>
  </si>
  <si>
    <t>Columbia University</t>
  </si>
  <si>
    <t>Jacobs, S (corresponding author), Columbia Univ, Lamont Doherty Earth Observ, Palisades, NY 10964 USA.</t>
  </si>
  <si>
    <t>sjacobs@ldeo.columbia.edu</t>
  </si>
  <si>
    <t>10.1098/rsta.2006.1794</t>
  </si>
  <si>
    <t>WOS:000238944500006</t>
  </si>
  <si>
    <t>Monaghan, AJ; Bromwich, DH; Wang, SH</t>
  </si>
  <si>
    <t>Monaghan, Andrew J.; Bromwich, David H.; Wang, Sheng-Hung</t>
  </si>
  <si>
    <t>Recent trends in Antarctic snow accumulation from Polar MM5 simulations</t>
  </si>
  <si>
    <t>Antarctic accumulation; Antarctic precipitation; Antarctic surface mass balance</t>
  </si>
  <si>
    <t>SURFACE MASS-BALANCE; SEA-LEVEL RISE; SOUTHERN ANNULAR MODE; NCEP-NCAR REANALYSIS; WEST ANTARCTICA; TEMPORAL VARIABILITY; EAST ANTARCTICA; ICE-SHEET; ATMOSPHERIC CIRCULATION; CLIMATE VARIABILITY</t>
  </si>
  <si>
    <t>Polar MM5, a mesoscale atmospheric model optimized for use over polar ice sheets, is employed to simulate Antarctic accumulation in recent decades. Two sets of simulations, each with different initial and boundary conditions, are evaluated for the 17 yr period spanning 1985-2001. The initial and boundary conditions for the two sets of runs are provided by the (i) European Centre for Medium-Range Weather Forecasts 40 year Reanalysis, and (ii) National Centres for Environmental Prediction-Department of Energy Atmospheric Model Intercomparison Project Reanalysis II. This approach is used so that uncertainty can be assessed by comparing the two resulting datasets. There is broad agreement between the two datasets for the annual precipitation trends for 1985-2001. These generally agree with ice core and snow stake accumulation records at various locations around the continent, indicating broad areas of both upward and downward trends. Averaged over the continent the annual trends are small and not statistically different from zero, suggesting that recent Antarctic snowfall changes do not mitigate current sea-level rise. However, this result does not suggest that Antarctica is isolated from the recent climate changes occurring elsewhere on Earth. Rather, these are expressed by strong seasonal and regional precipitation changes.</t>
  </si>
  <si>
    <t>Ohio State Univ, Byrd Polar Res Ctr, Polar Meteorol Grp, Columbus, OH 43210 USA; Ohio State Univ, Dept Geog, Atmospher Sci Program, Columbus, OH 43210 USA</t>
  </si>
  <si>
    <t>University System of Ohio; Ohio State University; University System of Ohio; Ohio State University</t>
  </si>
  <si>
    <t>Monaghan, AJ (corresponding author), Ohio State Univ, Byrd Polar Res Ctr, Polar Meteorol Grp, 1090 Carmack Rd, Columbus, OH 43210 USA.</t>
  </si>
  <si>
    <t>monaghan.11@osu.edu</t>
  </si>
  <si>
    <t>Bromwich, David H/C-9225-2016</t>
  </si>
  <si>
    <t>Monaghan, Andrew/0000-0002-8170-2359</t>
  </si>
  <si>
    <t>10.1098/rsta.2006.1795</t>
  </si>
  <si>
    <t>WOS:000238944500007</t>
  </si>
  <si>
    <t>Gregory, JM; Huybrechts, P</t>
  </si>
  <si>
    <t>Gregory, J. M.; Huybrechts, P.</t>
  </si>
  <si>
    <t>Ice-sheet contributions to future sea-level change</t>
  </si>
  <si>
    <t>sea level; ice sheet; Greenland; Antarctica; climate change</t>
  </si>
  <si>
    <t>SURFACE MASS-BALANCE; VOLUME CHANGES; CLIMATE-CHANGE; GREENLAND; TEMPERATURE; SCENARIOS; MODEL; 20TH-CENTURY; SENSITIVITY</t>
  </si>
  <si>
    <t>Accurate simulation of ice-sheet surface mass balance requires higher spatial resolution than is afforded by typical atmosphere-ocean general circulation models (AOGCMs), owing, in particular, to the need to resolve the narrow and steep margins where the majority of precipitation and ablation occurs. We have developed a method for calculating mass-balance changes by combining ice-sheet average time-series from AOGCM projections for future centuries, both with information from high-resolution climate models run for short periods and with a 20 km ice-sheet mass-balance model. Antarctica contributes negatively to sea level on account of increased accumulation, while Greenland contributes positively because ablation increases more rapidly. The uncertainty in the results is about 20% for Antarctica and 35% for Greenland. Changes in ice-sheet topography and dynamics are not included, but we discuss their possible effects. For an annual- and area-average warming exceeding 4.5 +/- 0.9 K in Greenland and 3.1 +/- 0.8 K in the global average, the net surface mass balance of the Greenland ice sheet becomes negative, in which case it is likely that the ice sheet would eventually be eliminated, raising global-average sea level by 7 m.</t>
  </si>
  <si>
    <t>Vrije Univ Brussels, Dept Geog, B-1050 Brussels, Belgium; Univ Reading, Ctr Global Atmospher Modelling, Dept Meteorol, Reading RG6 6BB, Berks, England; Meteorol Off, Hadley Ctr, Exeter EX1 3PB, Devon, England; Alfred Wegener Inst Polar &amp; Marine Res, D-27515 Bremerhaven, Germany</t>
  </si>
  <si>
    <t>Vrije Universiteit Brussel; UK Research &amp; Innovation (UKRI); Natural Environment Research Council (NERC); NERC National Centre for Earth Observation; NERC National Centre for Atmospheric Science; University of Reading; Met Office - UK; Met Office - UK; Hadley Centre; Helmholtz Association; Alfred Wegener Institute, Helmholtz Centre for Polar &amp; Marine Research</t>
  </si>
  <si>
    <t>Huybrechts, P (corresponding author), Vrije Univ Brussels, Dept Geog, Pleinlaan 2, B-1050 Brussels, Belgium.</t>
  </si>
  <si>
    <t>phuybrec@vub.ac.be</t>
  </si>
  <si>
    <t>Gregory, Jonathan/J-2939-2016; Huybrechts, Philippe/J-5278-2013</t>
  </si>
  <si>
    <t>Gregory, Jonathan/0000-0003-1296-8644; Huybrechts, Philippe/0000-0003-1406-0525</t>
  </si>
  <si>
    <t>10.1098/rsta.2006.1796</t>
  </si>
  <si>
    <t>WOS:000238944500008</t>
  </si>
  <si>
    <t>Hindmarsh, RCA</t>
  </si>
  <si>
    <t>Hindmarsh, Richard C. A.</t>
  </si>
  <si>
    <t>The role of membrane-like stresses in determining the stability and sensitivity of the Antarctic ice sheets: back pressure and grounding line motion</t>
  </si>
  <si>
    <t>ice sheet; Antarctic; Holocene; stability; global change</t>
  </si>
  <si>
    <t>PINE ISLAND GLACIER; WEST ANTARCTICA; SHELF COLLAPSE; STREAM; FLOW; MODEL; ACCELERATION; DYNAMICS; GRADIENTS; GREENLAND</t>
  </si>
  <si>
    <t>Membrane stresses act along thin bodies which are relatively well lubricated on both surfaces. They operate in ice sheets because the bottom is either sliding, or is much less viscous than the top owing to stress and heat softening of the basal ice. Ice streams flow over very well lubricated beds, and are restrained at their sides. The ideal of the perfectly slippery bed is considered in this paper, and the propagation of mechanical effects along an ice stream considered by applying spatially varying horizontal body forces. Propagation distances depend sensitively on the rheological index, and can be very large for ice-type rheologies. A new analytical solution for ice-shelf profiles and grounded tractionless stream profiles is presented, which show blow up of the profile in a finite distance upstream at locations where the flux is non-zero. This is a feature of an earlier analytical solution for a floating shelf. The length scale of decay of membrane stresses from the grounding line is investigated through scale analysis. In ice sheets, such effects decay over distances of several tens of kilometres, creating a vertical boundary layer between sheet flow and shelf flow, where membrane stresses adjust. Bounded, physically reasonable steady surface profiles only exist conditionally in this boundary layer. Where bounded steady profiles exist, adjacent profile equilibria for the whole ice sheet corresponding to different grounded areas occur (neutral equilibrium). If no solution in the boundary layer can exist, the ice-sheet profile must change. The conditions for existence can be written in terms of whether the basal rate factor (sliding or internal deformation) is too large to permit a steady solution. The critical value depends extremely sensitively on ice velocity and the back stress applied at the grounding line. High ice velocity and high stress both favour the existence of solutions and stability. Changes in these parameters can cause the steady solution existence criterion to be traversed, and the ice-sheet dynamics to change. A finite difference model which represents both neutral equilibrium and the dynamical transition is presented, and preliminary investigations into its numerical sensitivity are carried out. Evidence for the existence of a long wavelength instability is presented through the solution of a numerical eigenproblem, which will hamper predictability.</t>
  </si>
  <si>
    <t>British Antarctic Survey, Nat Environm Res Council, Div Phys Sci, Cambridge CB3 0ET, England</t>
  </si>
  <si>
    <t>Hindmarsh, RCA (corresponding author), British Antarctic Survey, Nat Environm Res Council, Div Phys Sci, High Cross,Madingley Rd, Cambridge CB3 0ET, England.</t>
  </si>
  <si>
    <t>rcah@bas.ac.uk</t>
  </si>
  <si>
    <t>Hindmarsh, Richard/N-1195-2019</t>
  </si>
  <si>
    <t>Hindmarsh, Richard/0000-0003-1633-2416</t>
  </si>
  <si>
    <t>Natural Environment Research Council [bas010018] Funding Source: researchfish; NERC [bas010018] Funding Source: UKRI</t>
  </si>
  <si>
    <t>10.1098/rsta.2006.1797</t>
  </si>
  <si>
    <t>WOS:000238944500009</t>
  </si>
  <si>
    <t>Evatt, GW; Fowler, AC; Clark, CD; Hulton, NRJ</t>
  </si>
  <si>
    <t>Evatt, G. W.; Fowler, A. C.; Clark, C. D.; Hulton, N. R. J.</t>
  </si>
  <si>
    <t>Subglacial floods beneath ice sheets</t>
  </si>
  <si>
    <t>jokulhlaups; ice sheets; subglacial hydrology; Dansgaard-Oeschger events; sub-Antarctic lakes</t>
  </si>
  <si>
    <t>GLACIAL LAKE AGASSIZ; LAST OUTBURST FLOOD; TRANSANTARCTIC MOUNTAINS; ATLANTIC-OCEAN; BASAL MELT; CLIMATE; ORIGIN; MODEL; WATER; CIRCULATION</t>
  </si>
  <si>
    <t>Subglacial floods (jokulhlaups) are well documented as occurring beneath present day glaciers and ice caps. In addition, it is known that massive floods have occurred from ice-dammed lakes proximal to the Laurentide ice sheet during the last ice age, and it has been suggested that at least one such flood below the waning ice sheet was responsible for a dramatic cooling event some 8000 years ago. We propose that drainage of lakes from beneath ice sheets will generally occur in a time-periodic fashion, and that such floods can be of severe magnitude. Such hydraulic eruptions are likely to have caused severe climatic disturbances in the past, and may well do so in the future.</t>
  </si>
  <si>
    <t>Univ Oxford, Inst Math, Oxford OX1 3LB, England; Univ Sheffield, Dept Geog, Sheffield S10 2TN, S Yorkshire, England; Univ Edinburgh, Sch Geosci, Edinburgh EH8 9XP, Midlothian, Scotland</t>
  </si>
  <si>
    <t>University of Oxford; University of Sheffield; University of Edinburgh</t>
  </si>
  <si>
    <t>Fowler, AC (corresponding author), Univ Oxford, Inst Math, 24-29 St Giles, Oxford OX1 3LB, England.</t>
  </si>
  <si>
    <t>fowler@maths.ox.ac.uk</t>
  </si>
  <si>
    <t>Fowler, Andrew/I-5868-2014; clark, chris/C-3830-2009</t>
  </si>
  <si>
    <t>clark, chris/0000-0002-1021-6679</t>
  </si>
  <si>
    <t>10.1098/rsta.2006.1798</t>
  </si>
  <si>
    <t>WOS:000238944500010</t>
  </si>
  <si>
    <t>Joughin, I; Bamber, JL; Scambos, T; Tulaczyk, S; Fahnestock, M; MacAyeal, DR</t>
  </si>
  <si>
    <t>Joughin, Ian; Bamber, Jonathan L.; Scambos, Ted; Tulaczyk, Slawek; Fahnestock, Mark; MacAyeal, Douglas R.</t>
  </si>
  <si>
    <t>Integrating satellite observations with modelling: basal shear stress of the Filcher-Ronne ice streams, Antarctica</t>
  </si>
  <si>
    <t>ice streams; glaciology; Antarctica; ice sheets</t>
  </si>
  <si>
    <t>WEST ANTARCTICA; SUBGLACIAL SEDIMENTS; MASS-BALANCE; FLOW; SHEET; BENEATH; MECHANICS; DYNAMICS; RADAR; SHELF</t>
  </si>
  <si>
    <t>Using inverse methods constrained by recent satellite observations, we have produced a comprehensive estimate of the basal shear stress beneath the Filchner-Ronne ice streams. The inversions indicate that a weak bed (approx. 4-20 kPa) underlies much of these ice streams. Compared to the Ross ice streams, the distribution of weak subglacial till is more heterogeneous, with 'sticky spots' providing much of the resistance to flow. A weak bed beneath Recovery ice stream extends several hundred kilometres inland with flow. Along this ice stream, discrepancies between thickness measurements and flux estimates suggest the existence of a deep (-1400 m) trough not resolved by existing maps of subglacial topography. We hypothesize that the presence of this and other deep troughs is a major influence on this sector of the ice sheet that is not fully incorporated in current models of ice-sheet evolution.</t>
  </si>
  <si>
    <t>Univ Washington, Polar Sci Ctr, Appl Phys Lab, Seattle, WA 98105 USA; Univ Bristol, Sch Geog Sci, Ctr Polar Observat &amp; Modelling, Bristol BS8 1SS, Avon, England; Univ Colorado, Natl Snow &amp; Ice Data Ctr, Boulder, CO 80309 USA; Univ Calif Santa Cruz, Dept Earth Sci, Santa Cruz, CA 95064 USA; Univ New Hampshire, Inst Study Earth Oceans &amp; Space, Complex Syst Res Ctr, Durham, NH 03824 USA; Univ Chicago, Dept Geophys Sci, Chicago, IL 60637 USA</t>
  </si>
  <si>
    <t>University of Washington; University of Washington Seattle; University of Bristol; University of Colorado System; University of Colorado Boulder; University of California System; University of California Santa Cruz; University System Of New Hampshire; University of New Hampshire; University of Chicago</t>
  </si>
  <si>
    <t>Joughin, I (corresponding author), Univ Washington, Polar Sci Ctr, Appl Phys Lab, 1013 NE 40th St, Seattle, WA 98105 USA.</t>
  </si>
  <si>
    <t>ian@apl.washington.edu</t>
  </si>
  <si>
    <t>Bamber, Jonathan/C-7608-2011; Joughin, Ian R/A-2998-2008; Otani, Kenji/M-3398-2018; Fahnestock, Mark A/N-2678-2013; Joughin, Ian/AAR-7778-2021; Scambos, Ted A/B-1856-2009; Tulaczyk, Slawek/O-7375-2018</t>
  </si>
  <si>
    <t>Bamber, Jonathan/0000-0002-2280-2819; Joughin, Ian R/0000-0001-6229-679X; Joughin, Ian/0000-0001-6229-679X; Tulaczyk, Slawek/0000-0002-9711-4332; SCAMBOS, Ted A./0000-0003-4268-6322; MacAyeal, Douglas/0000-0003-0647-6176</t>
  </si>
  <si>
    <t>10.1098/rsta.2006.1799</t>
  </si>
  <si>
    <t>WOS:000238944500011</t>
  </si>
  <si>
    <t>Vieli, A; Payne, AJ; Du, ZJ; Shepherd, A</t>
  </si>
  <si>
    <t>Vieli, Andreas; Payne, Antony J.; Du, Zhijun; Shepherd, Andrew</t>
  </si>
  <si>
    <t>Numerical modelling and data assimilation of the Larsen B ice shelf, Antarctic Peninsula</t>
  </si>
  <si>
    <t>ice shelf modelling; control method; inverse modelling; Larsen ice shelf; Antarctic Peninsula; Antarctica</t>
  </si>
  <si>
    <t>STREAM-B; CLIMATE-CHANGE; PINE ISLAND; COLLAPSE; RETREAT; FLOW; DYNAMICS; GLACIER</t>
  </si>
  <si>
    <t>In this study, the flow and rheology of pre-collapse Larsen B ice shelf are investigated by using a combination of flow modelling and data assimilation. Observed shelf velocities from satellite interferometry are used to constrain an ice shelf model by using a data assimilation technique based on the control method. In particular, the ice rheology field and the velocities at the inland shelf boundary are simultaneously optimized to get a modelled flow and stress field that is consistent with the observed flow. The application to the Larsen B ice shelf shows that a strong weakening of the ice in the shear zones, mostly along the margins, is necessary to fit the observed shelf flow. This pattern of bands with weak ice is a very robust feature of the inversion, whereas the ice rheology within the main shelf body is found to be not well constrained. This suggests that these weak zones play a major role in the control of the flow of the Larsen B ice shelf and may be the key to understanding the observed pre-collapse thinning and acceleration of Larsen B. Regarding the sensitivity of the stress field to rheology, the consistency of the model with the observed flow seems crucial for any further analysis such as the application of fracture mechanics or perturbation model experiments.</t>
  </si>
  <si>
    <t>Univ Bristol, Sch Geog Sci, Ctr Polar Observat &amp; Modelling, Bristol BS8 1SS, Avon, England; Univ Cambridge, Scott Polar Res Inst, Ctr Polar Observat &amp; Modelling, Cambridge CB2 1ER, England</t>
  </si>
  <si>
    <t>University of Bristol; University of Cambridge</t>
  </si>
  <si>
    <t>Vieli, A (corresponding author), Univ Durham, Dept Geog, South Rd, Durham DH1 3LE, England.</t>
  </si>
  <si>
    <t>andreas.vieli@durham.ac.uk</t>
  </si>
  <si>
    <t>Vieli, Andreas/A-6767-2011; payne, antony/A-8916-2008</t>
  </si>
  <si>
    <t>payne, antony/0000-0001-8825-8425; Shepherd, Andrew/0000-0002-4914-1299</t>
  </si>
  <si>
    <t>10.1098/rsta.2006.1800</t>
  </si>
  <si>
    <t>WOS:000238944500012</t>
  </si>
  <si>
    <t>Arthern, RJ; Hindmarsh, RCA</t>
  </si>
  <si>
    <t>Arthern, Robert J.; Hindmarsh, Richard C. A.</t>
  </si>
  <si>
    <t>Determining the contribution of Antarctica to sea-level rise using data assimilation methods</t>
  </si>
  <si>
    <t>ice sheets; sea-level rise; data assimilation; Krylov methods</t>
  </si>
  <si>
    <t>SURFACE MASS-BALANCE; PINE ISLAND GLACIER; POLAR ICE SHEETS; WEST ANTARCTICA; MODEL; COLLAPSE; SHELF; ACCELERATION; GREENLAND; EQUATIONS</t>
  </si>
  <si>
    <t>The problem of forecasting the future behaviour of the Antarctic ice sheet is considered. We describe a method for optimizing this forecast by combining a model of ice sheet flow with observations. Under certain assumptions, a linearized model of glacial flow can be combined with observations of the thickness change, snow accumulation, and ice-flow, to forecast the Antarctic contribution to sea-level rise. Numerical simulations show that this approach can potentially be used to test whether changes observed in Antarctica are consistent with the natural forcing of a stable ice sheet by snowfall fluctuations. To make predictions under less restrictive assumptions, improvements in models of ice flow are needed. Some of the challenges that this prediction problem poses are highlighted, and potentially useful approaches drawn from numerical weather prediction are discussed.</t>
  </si>
  <si>
    <t>British Antarctic Survey, Cambridge CB3 0ET, England</t>
  </si>
  <si>
    <t>Arthern, RJ (corresponding author), British Antarctic Survey, Madingley Rd, Cambridge CB3 0ET, England.</t>
  </si>
  <si>
    <t>rart@bas.ac.uk</t>
  </si>
  <si>
    <t>NERC [bas010018] Funding Source: UKRI; Natural Environment Research Council [bas010018] Funding Source: researchfish</t>
  </si>
  <si>
    <t>10.1098/rsta.2006.1801</t>
  </si>
  <si>
    <t>WOS:000238944500013</t>
  </si>
  <si>
    <t>Payne, AJ; Hunt, JCR; Wingham, DJ</t>
  </si>
  <si>
    <t>Payne, Antony J.; Hunt, Julian C. R.; Wingham, Duncan J.</t>
  </si>
  <si>
    <t>Evolution of the Antarctic ice sheet: new understanding and challenges</t>
  </si>
  <si>
    <t>Antarctica; climate change; glaciology; satellites</t>
  </si>
  <si>
    <t>PINE ISLAND GLACIER; SEA-LEVEL RISE; WEST ANTARCTICA; MASS-BALANCE; STREAM; DISCHARGE; OCEAN</t>
  </si>
  <si>
    <t>This brief paper has two purposes. First, we gauge developments in the study of the Antarctic ice sheet over the last seven years by comparing the contents of this issue with the volume produced from an American Geophysical Union meeting, held in September 1998, on the West Antarctic ice sheet. We focus on the uptake of satellite-based observation; ice-ocean interactions; ice streams as foci of change within the ice sheet; and the time scales on which the ice sheet is thought to operate. Second, we attempt to anticipate the future challenges that the study of the Antarctic ice sheet will present. We highlight the role of the upcoming International Polar Year in facilitating a better coverage of in situ climatic observations over the continent; the pressing need to understand the causes and consequences of the contemporary changes observed in the Amundsen Sea sector of West Antarctica; and the need for improved physics in predictive models of the ice sheet.</t>
  </si>
  <si>
    <t>Univ Bristol, Ctr Polar Observat &amp; Modelling, Bristol BS8 1SS, Avon, England; UCL, Ctr Polar Observat &amp; Modelling, London WC1E 6BT, England</t>
  </si>
  <si>
    <t>University of Bristol; University of London; University College London</t>
  </si>
  <si>
    <t>Payne, AJ (corresponding author), Univ Bristol, Ctr Polar Observat &amp; Modelling, Bristol BS8 1SS, Avon, England.</t>
  </si>
  <si>
    <t>10.1098/rsta.2006.1802</t>
  </si>
  <si>
    <t>WOS:000238944500014</t>
  </si>
  <si>
    <t>Parkinson, CL; Vinnikov, KY; Cavalieri, DJ</t>
  </si>
  <si>
    <t>Parkinson, Claire L.; Vinnikov, Konstantin Y.; Cavalieri, Donald J.</t>
  </si>
  <si>
    <t>Evaluation of the simulation of the annual cycle of Arctic and Antarctic sea ice coverages by 11 major global climate models</t>
  </si>
  <si>
    <t>JOURNAL OF GEOPHYSICAL RESEARCH-OCEANS</t>
  </si>
  <si>
    <t>VARIABILITY; CIRCULATION; SATELLITE; EXTENTS; TRENDS</t>
  </si>
  <si>
    <t>[1] Comparison of polar sea ice results from 11 major global climate models (GCMs) and satellite-derived observations for 1979 - 2004 reveals that each of the models is simulating annual cycles that are phased at least approximately correctly in both hemispheres. Each is also simulating various key aspects of the observed ice cover distributions, such as winter ice not only throughout the central Arctic basin but also throughout Hudson Bay, despite its relatively low latitudes. However, some of the models simulate too much ice, others simulate too little ice ( in some cases depending on hemisphere and/or season), and some match the observations better in one season versus another. Several models do noticeably better in the Northern Hemisphere than in the Southern Hemisphere, and one does noticeably better in the Southern Hemisphere. In the Northern Hemisphere all simulate monthly average ice extents to within +/- 5.1 x 10(6) km(2) of the observed ice extent throughout the year; in the Southern Hemisphere all except one simulate the monthly averages to within +/- 6.3 x 10(6) km(2) of the observed values. All the models properly simulate a lack of winter ice to the west of Norway; however, most obtain more ice immediately north of Norway than the observations show, suggesting an under simulation of the North Atlantic Current. The spread in monthly averaged ice extents among the 11 model simulations is greater in the Southern Hemisphere than in the Northern Hemisphere and greatest in the Southern Hemisphere winter and spring.</t>
  </si>
  <si>
    <t>NASA, Goddard Space Flight Ctr, Cryospher Sci Branch, Greenbelt, MD 20771 USA; Univ Maryland, Dept Meteorol, College Pk, MD 20742 USA</t>
  </si>
  <si>
    <t>National Aeronautics &amp; Space Administration (NASA); NASA Goddard Space Flight Center; University System of Maryland; University of Maryland College Park</t>
  </si>
  <si>
    <t>Parkinson, CL (corresponding author), NASA, Goddard Space Flight Ctr, Cryospher Sci Branch, Code 614-1, Greenbelt, MD 20771 USA.</t>
  </si>
  <si>
    <t>claire.l.parkinson@nasa.gov</t>
  </si>
  <si>
    <t>Parkinson, Claire L/E-1747-2012; Vinnikov, Konstantin Y/F-9348-2010; Parkinson, Claire/JAC-7676-2023; Vinnikov, Konstantin/IAN-6246-2023</t>
  </si>
  <si>
    <t>Parkinson, Claire L/0000-0001-6730-4197; Parkinson, Claire/0000-0001-6730-4197;</t>
  </si>
  <si>
    <t>2169-9275</t>
  </si>
  <si>
    <t>2169-9291</t>
  </si>
  <si>
    <t>J GEOPHYS RES-OCEANS</t>
  </si>
  <si>
    <t>J. Geophys. Res.-Oceans</t>
  </si>
  <si>
    <t>JUL 14</t>
  </si>
  <si>
    <t>C7</t>
  </si>
  <si>
    <t>C07012</t>
  </si>
  <si>
    <t>10.1029/2005JC003408</t>
  </si>
  <si>
    <t>066GS</t>
  </si>
  <si>
    <t>WOS:000239218300002</t>
  </si>
  <si>
    <t>Parekh, P; Follows, MJ; Dutkiewicz, S; Ito, T</t>
  </si>
  <si>
    <t>Parekh, P.; Follows, M. J.; Dutkiewicz, S.; Ito, T.</t>
  </si>
  <si>
    <t>Physical and biological regulation of the soft tissue carbon pump</t>
  </si>
  <si>
    <t>PALEOCENE-EOCENE BOUNDARY; ANTARCTIC SEA-ICE; SOUTHERN-OCEAN; ATMOSPHERIC CO2; PHYTOPLANKTON BLOOM; IRON FERTILIZATION; BINDING LIGANDS; PACIFIC; CIRCULATION; MODEL</t>
  </si>
  <si>
    <t>[ 1] We examine the relationship between aeolian iron deposition, ocean circulation, and atmospheric CO2 in the context of a global ocean circulation and biogeochemistry model with a coupled atmospheric reservoir of CO2. In common with previous models we find only a small reduction of atmospheric pCO(2) in response to an enhanced aeolian iron source consistent with Last Glacial Maximum conditions. We show this to be due to a combination of limiting factors including control of deep ocean iron concentrations by complexation to an organic ligand, regional compensation in changes to export production, and the maintenance of high preformed nutrient concentrations in deep water formation regions. We also demonstrate a significant sensitivity of atmospheric pCO(2) to changes in the residual mean overturning circulation of the Southern Ocean dominated by its regulation of the accumulation of biogenic carbon in the deep ocean. Although it is not enough to explain the full drawdown of pCO(2) to glacial levels, a reduction in overturning can lead to significant reduction in atmospheric pCO(2), providing mechanistic basis for the control by vertical mixing'' inferred from box models.</t>
  </si>
  <si>
    <t>Univ Bern, Inst Phys, CH-3012 Bern, Switzerland; MIT, Dept Earth Atmospher &amp; Planetary Sci, Cambridge, MA 02139 USA; Univ Washington, Joint Inst Study Atmosphere &amp; Ocean, Seattle, WA 98195 USA</t>
  </si>
  <si>
    <t>University of Bern; Massachusetts Institute of Technology (MIT); University of Washington; University of Washington Seattle</t>
  </si>
  <si>
    <t>Parekh, P (corresponding author), Univ Bern, Inst Phys, Sidlerstr 5, CH-3012 Bern, Switzerland.</t>
  </si>
  <si>
    <t>parekh@climate.unibe.ch</t>
  </si>
  <si>
    <t>Follows, Michael J/G-9824-2011; Ito, Takamitsu/F-3856-2010</t>
  </si>
  <si>
    <t>Ito, Takamitsu/0000-0001-9873-099X</t>
  </si>
  <si>
    <t>PA3001</t>
  </si>
  <si>
    <t>10.1029/2005PA001258</t>
  </si>
  <si>
    <t>066HN</t>
  </si>
  <si>
    <t>WOS:000239220400001</t>
  </si>
  <si>
    <t>Acton, G; Guyodo, Y; Brachfeld, S</t>
  </si>
  <si>
    <t>The nature of a cryptochron from a paleomagnetic study of Chron C4r.2r recorded in sediments off the Antarctic Peninsula</t>
  </si>
  <si>
    <t>PHYSICS OF THE EARTH AND PLANETARY INTERIORS</t>
  </si>
  <si>
    <t>cryptochrons; excursions; geomagnetic polarity timescale; magnetostratigraphy; geomagnetism; relative paleointensity; Ocean Drilling Program; Site 1095; Antarctic peninsula</t>
  </si>
  <si>
    <t>MARINE MAGNETIC-ANOMALIES; GEOMAGNETIC POLARITY INTERVALS; ODP SITE-1092; TINY WIGGLES; INTENSITY; FIELD; PALEOINTENSITY; MIOCENE; SCALE</t>
  </si>
  <si>
    <t>The magnetostratigraphy from Ocean Drilling Program (ODP) Site 1095, off the Pacific margin of the Antarctic Peninsula, contains an extra normal polarity event that occurs near the base of Chron 4r.2r (8.072-8.699 Ma), which we interpret to be cryptochron C4r.2r-1. Owing to the relatively high sedimentation rates (about 90 m/m.y.), this event is particularly well recorded at the site, spanning 4.99 m of the stratigraphic section. This allows the characteristics of the cryptochron to be investigated in greater detail than possible from marine magnetic anomalies, where it was originally identified, or from other sedimentary sections in which it has been recorded at much lower resolution. Our observations suggest that the cryptochron is a full geomagnetic reversal, in which both the direction and paleointensity attain levels similar to that of other normal polarity chrons at the site. Based on its position within Chron 4r.2r, the cryptochron started at 8.622 Ma and terminated 56 k.y. later at 8.566 Ma. At the transition zones bounding the cryptochron, the paleointensity collapses to near zero, but recovers within a few thousand years. Our results, as well as paleomagnetic observations from other thick sedimentary units, indicate that cryptochrons are not always purely paleointensity variations. Instead they are a record of short-term geomagnetic variability that includes short geomagnetic reversals, excursions, intervals of high paleosecular variation, and paleointensity lows, all of which are part of a vector field that varies in both strength and direction over time. (c) 2006 Elsevier B.V. All rights reserved.</t>
  </si>
  <si>
    <t>Univ Calif Davis, Dept Geol, Davis, CA 95616 USA; CNRS, Lab Sci Climat &amp; Environm, F-91198 Gif Sur Yvette, France; Montclair State Univ, Dept Earth &amp; Environm Studies, Montclair, NJ 07043 USA</t>
  </si>
  <si>
    <t>University of California System; University of California Davis; CEA; Centre National de la Recherche Scientifique (CNRS); Universite Paris Saclay; Montclair State University</t>
  </si>
  <si>
    <t>Acton, G (corresponding author), Univ Calif Davis, Dept Geol, 1 Shields Ave, Davis, CA 95616 USA.</t>
  </si>
  <si>
    <t>acton@geology.ucdavis.edu; guyodo@lsce.cnrs-gif.fr; brachfelds@mail.montclair.edu</t>
  </si>
  <si>
    <t>guyodo, yohan/R-5079-2018; Guyodo, Yohan/G-8282-2011; Acton, Gary D/B-6108-2016</t>
  </si>
  <si>
    <t>guyodo, yohan/0000-0003-0485-5949; Brachfeld, Stefanie/0000-0003-4612-2866; Acton, Gary/0000-0002-3285-4022</t>
  </si>
  <si>
    <t>0031-9201</t>
  </si>
  <si>
    <t>PHYS EARTH PLANET IN</t>
  </si>
  <si>
    <t>Phys. Earth Planet. Inter.</t>
  </si>
  <si>
    <t>10.1016/j.pepi.2005.09.015</t>
  </si>
  <si>
    <t>060DL</t>
  </si>
  <si>
    <t>WOS:000238782300006</t>
  </si>
  <si>
    <t>Brachfeld, SA</t>
  </si>
  <si>
    <t>High-field magnetic susceptibility (χHF) as a proxy of biogenic sedimentation along the Antarctic Peninsula</t>
  </si>
  <si>
    <t>Antarctic Peninsula; magnetic susceptibility; high-field magnetic susceptibility; Palmer Deep; Gerlache strait; rock-magnetism</t>
  </si>
  <si>
    <t>PALMER-DEEP; MARINE-SEDIMENTS; CYCLES</t>
  </si>
  <si>
    <t>High-field mass-normalized magnetic susceptibility (chi(HF)) is presented as a proxy for biogenic sedimentation in glacimarine sediment from the western Antarctic Peninsula. chi(HF) is measured at field strengths that exceed the saturation field of ferrimagnetic minerals. These measurement conditions exclude the contributions of ferrimagnetic iron oxides that dominate low-field volume-normalized susceptibility (k) measurements. Therefore, chi(HF) allows for closer examination of paramagnetic and diamagnetic minerals, the latter of which includes biogenic silica and biogenic calcite. In sedimentary sequences from the western Antarctic Peninsula, the main processes affecting the abundance of diamagnetic material in sediment is biological productivity and the subsequent flux of biogenic silica to the seafloor. chi(HF) profiles were measured on two biosiliceous sediment cores from the western Antarctic Peninsula. Comparisons with quantitative biogenic silica measurements indicate that chi(HF) tracks % opaline silica very well, and reveals the presence of century-scale cycles in sediment composition in intervals where k appears featureless. chi(HF) is limited as a quantitative measure of biogenic sediment flux, since terrigenous paramagnetic and diamagnetic minerals also contribute to the measurement. The interpretation of chi(HF) can also be complicated by the presence of unsaturated high-coercivity minerals such as hematite and goethite, or by the presence of ultra-fine superparamagnetic (SP) particles. However, in sediment sequences where the condition of saturation is met, chi(HF) is very well suited for the rapid identification of temporal trends in biogenic sedimentation. (c) 2006 Elsevier B.V All rights reserved.</t>
  </si>
  <si>
    <t>Montclair State Univ, Dept Earth &amp; Environm Studies, Montclair, NJ 07403 USA</t>
  </si>
  <si>
    <t>Montclair State University</t>
  </si>
  <si>
    <t>Brachfeld, SA (corresponding author), Montclair State Univ, Dept Earth &amp; Environm Studies, Montclair, NJ 07403 USA.</t>
  </si>
  <si>
    <t>brachfelds@mail.montclair.edu</t>
  </si>
  <si>
    <t>Brachfeld, Stefanie/0000-0003-4612-2866</t>
  </si>
  <si>
    <t>10.1016/j.pepi.2005.06.019</t>
  </si>
  <si>
    <t>WOS:000238782300010</t>
  </si>
  <si>
    <t>Worton, DR; Sturges, WT; Schwander, J; Mulvaney, R; Barnola, JM; Chappellaz, J</t>
  </si>
  <si>
    <t>Worton, D. R.; Sturges, W. T.; Schwander, J.; Mulvaney, R.; Barnola, J. -M.; Chappellaz, J.</t>
  </si>
  <si>
    <t>20th century trends and budget implications of chloroform and related tri-and dihalomethanes inferred from firn air</t>
  </si>
  <si>
    <t>HALOGENATED ORGANIC-COMPOUNDS; SURFACE OZONE DESTRUCTION; CHLORINATION BY-PRODUCTS; MARINE BOUNDARY-LAYER; POLAR FIRN; REACTIVE CHLORINE; METHYL-BROMIDE; NONMETHANE HYDROCARBONS; SPRINGTIME DEPLETION; SEASONAL-VARIATIONS</t>
  </si>
  <si>
    <t>Four trihalomethane (THM; CHCl3, CHBrCl2, CHBr2Cl and CHBr3) and two dihalomethane ( DHM; CH2BrCl and CH2Br2) trace gases have been measured in air extracted from polar firn collected at the North Greenland Icecore Project (NGRIP) site. CHCl3 was also measured in firn air from Devon Island (DI), Canada, Dronning Maud Land (DML), Antarctica and Dome Concordia ( Dome C), Antarctica. All of these species are believed to be almost entirely of natural origin except for CHCl3 where anthropogenic sources have been reported to contribute similar to 10% to the global burden. A 2-D atmospheric model was run for CHCl3 using reported emission estimates to produce historical atmospheric trends at the firn sites, which were then input into a firn diffusion model to produce concentration depth profiles that were compared against the measurements. The anthropogenic emissions were modified in order to give the best model fit to the firn data at NGRIP, Dome C and DML. As a result, the contribution of CHCl3 from anthropogenic sources, mainly from pulp and paper manufacture, to the total chloroform budget appears to have been considerably underestimated and was likely to have been close to similar to 50% at the maximum in atmospheric CHCl3 concentrations around 1990, declining to similar to 29% at the beginning of the 21st century. We also show that the atmospheric burden of the brominated THM's in the Northern Hemisphere have increased over the 20th century while CH2Br2 has remained constant over time implying that it is entirely of natural origin.</t>
  </si>
  <si>
    <t>Univ E Anglia, Sch Environm Sci, Norwich NR4 7TJ, Norfolk, England; Univ Bern, Inst Phys, Bern, Switzerland; NERC, British Antarctic Survey, Cambridge, England; Ecole Natl Super Electrochim &amp; Electrome Grenoble, Thermodynam &amp; Physicochim Met Lab, CNRS, Lab Glaciol &amp; Geophys Environm, F-38402 St Martin Dheres, France</t>
  </si>
  <si>
    <t>University of East Anglia; University of Bern; UK Research &amp; Innovation (UKRI); Natural Environment Research Council (NERC); NERC British Antarctic Survey; Centre National de la Recherche Scientifique (CNRS); Communaute Universite Grenoble Alpes; Institut National Polytechnique de Grenoble</t>
  </si>
  <si>
    <t>Worton, DR (corresponding author), Univ E Anglia, Sch Environm Sci, Norwich NR4 7TJ, Norfolk, England.</t>
  </si>
  <si>
    <t>d.worton@uea.ac.uk</t>
  </si>
  <si>
    <t>Chappellaz, Jérôme A./A-4872-2011; Sturges, William/B-8248-2012; Mulvaney, Robert/K-3929-2012; Worton, David/A-8374-2012</t>
  </si>
  <si>
    <t>Mulvaney, Robert/0000-0002-5372-8148; Worton, David/0000-0002-6558-5586</t>
  </si>
  <si>
    <t>JUL 12</t>
  </si>
  <si>
    <t>10.5194/acp-6-2847-2006</t>
  </si>
  <si>
    <t>062ZP</t>
  </si>
  <si>
    <t>Green Submitted, Green Accepted, Green Published, gold</t>
  </si>
  <si>
    <t>WOS:000238985900001</t>
  </si>
  <si>
    <t>Strahan, SE; Polansky, BC</t>
  </si>
  <si>
    <t>Strahan, S. E.; Polansky, B. C.</t>
  </si>
  <si>
    <t>Meteorological implementation issues in chemistry and transport models</t>
  </si>
  <si>
    <t>HALOGEN OCCULTATION EXPERIMENT; SEMI-LAGRANGIAN TRANSPORT; TRACER TRANSPORT; CLIMATE MODEL; STRATOSPHERIC TRANSPORT; INITIATIVE ASSESSMENT; NUMERICAL ADVECTION; POLAR VORTEX; OZONE; SIMULATIONS</t>
  </si>
  <si>
    <t>Offline chemistry and transport models (CTMs) are versatile tools for studying composition and climate issues requiring multi-decadal simulations. They are computationally fast compared to coupled chemistry climate models, making them well-suited for integrating sensitivity experiments necessary for understanding model performance and interpreting results. The archived meteorological fields used by CTMs can be implemented with lower horizontal or vertical resolution than the original meteorological fields in order to shorten integration time, but the effects of these shortcuts on transport processes must be understood if the CTM is to have credibility. In this paper we present a series of sensitivity experiments on a CTM using the Lin and Rood advection scheme, each differing from another by a single feature of the wind field implementation. Transport effects arising from changes in resolution and model lid height are evaluated using process-oriented diagnostics that intercompare CH4, O-3, and age tracer carried in the simulations. Some of the diagnostics used are derived from observations and are shown as a reality check for the model. Processes evaluated include tropical ascent, tropical-midlatitude exchange, poleward circulation in the upper stratosphere, and the development of the Antarctic vortex. We find that faithful representation of stratospheric transport in this CTM is possible with a full mesosphere, similar to 1 km resolution in the lower stratosphere, and relatively low vertical resolution (&gt; 4 km spacing) in the middle stratosphere and above, but lowering the lid from the upper to lower mesosphere leads to less realistic constituent distributions in the upper stratosphere. Ultimately, this affects the polar lower stratosphere, but the effects are greater for the Antarctic than the Arctic. The fidelity of lower stratospheric transport requires realistic tropical and high latitude mixing barriers which are produced at 2 degrees x 2.5 degrees, but not lower resolution. At 2 degrees x 2.5 degrees resolution, the CTM produces a vortex capable of isolating perturbed chemistry ( e. g. high Cl-y and low NOy) required for simulating polar ozone loss.</t>
  </si>
  <si>
    <t>Univ Maryland Baltimore Cty, Goddard Earth Sci &amp; Technol Ctr, Baltimore, MD 21228 USA; Sci Syst &amp; Applicat Inc, Lanham, MD 20706 USA</t>
  </si>
  <si>
    <t>University System of Maryland; University of Maryland Baltimore County; National Aeronautics &amp; Space Administration (NASA); NASA Goddard Space Flight Center; Science Systems and Applications Inc</t>
  </si>
  <si>
    <t>Strahan, SE (corresponding author), Univ Maryland Baltimore Cty, Goddard Earth Sci &amp; Technol Ctr, 5523 Res Pk Dr,Suite 320, Baltimore, MD 21228 USA.</t>
  </si>
  <si>
    <t>sstrahan@pop600.gsfc.nasa.gov</t>
  </si>
  <si>
    <t>Strahan, Susan E/H-1965-2012</t>
  </si>
  <si>
    <t>10.5194/acp-6-2895-2006</t>
  </si>
  <si>
    <t>Green Submitted, Green Published, gold</t>
  </si>
  <si>
    <t>WOS:000238985900004</t>
  </si>
  <si>
    <t>Gómez-Gutiérrez, J; Peterson, WT; Morado, JF</t>
  </si>
  <si>
    <t>Gomez-Gutierrez, Jaime; Peterson, William T.; Morado, J. Frank</t>
  </si>
  <si>
    <t>Discovery of a ciliate parasitoid of euphausiids off Oregon, USA:: Collinia oregonensis n. sp (Apostomatida: Colliniidae)</t>
  </si>
  <si>
    <t>DISEASES OF AQUATIC ORGANISMS</t>
  </si>
  <si>
    <t>euphausiids; Apostomatidae; ciliates; endoparasitoid; Colliniidae; Collinia; Oregon coast</t>
  </si>
  <si>
    <t>SPATIAL-DISTRIBUTION; ANTARCTIC KRILL; SEA; MORPHOLOGY</t>
  </si>
  <si>
    <t>An apostome ciliate, Collinia oregonensis n. sp., is reported inhabiting the cephalothorax and abdomen of 3 euphausiid species from the Oregon-Washington coast: Euphausia pacifica Hansen, 1911, Thysanoessa spinifera Holmes, 1900, and Thysanoessa gregaria G.O. Sars, 1883. This ciliate is the 7th species described for the genus Collinia and the 2nd species known to infect euphausiids. Disease progression and ciliate morphology are described using (1) modified protargol stain, (2) hematoxylin counterstained with Fast Green, and (3) Scanning Electron Microscopy (SEM). All endoparasitic developmental stages (trophont, tomont, tomitogenesis, protomite, and tomite) of C. oregonensis are astomatous and possess between 14 and 22 kineties. C. oregonensis is smaller than C. beringensis Capriulo &amp; Small, 1986, which infects the euphausiid Thysanoessa inermis Kroyer, 1846 in the Bering Sea and which possesses between 24 and 80 kineties. The ciliate is a parasitoid because it must kill the host to complete its life cycle. Infections and mortalities in multiple host species likely reflect the virulent nature of the ciliate. Adult euphausiids infected with this parasitoid possess a swollen and bright orange cephalothorax. C. oregonensis feeds and proliferates inside euphausiids, producing fulminating infections that rupture the cephalothorax and release large numbers of tomites into the surrounding water. After several hours in the free swimming stage under shipboard conditions in the present study, the tomites adhered to each other, forming filaments. Infection rates ranged between 3 and 20% within individual euphausiid aggregations, but infected aggregations were randomly and sparingly distributed. Infected euphausiids were found at 6.7% of 316 stations sampled during 3 summer cruises. No infected euphausiids were collected in winter. Because E. pacifica and T spinifera account for about 90% of the euphausiid standing stock in the northern California Current System, this parasitoid ciliate may have a significant impact on euphausiid population abundance, distribution and secondary productivity.</t>
  </si>
  <si>
    <t>NOAA, NMFS, Hatfield Marine Sci Ctr, Newport, OR 97365 USA; NOAA, Natl Marine Fisheries Serv, Alaska Fisheries Sci Ctr, Resource Assessment &amp; Conservat Engn Div, Seattle, WA 98115 USA; Oregon State Univ, Coll Ocean &amp; Atmospher Sci, Corvallis, OR 97331 USA</t>
  </si>
  <si>
    <t>National Oceanic Atmospheric Admin (NOAA) - USA; National Oceanic Atmospheric Admin (NOAA) - USA; Oregon State University</t>
  </si>
  <si>
    <t>Gómez-Gutiérrez, J (corresponding author), Ctr Interdisciplinario Ciencias Marinas, Dept Plancton &amp; Ecol Marina, IPN S-N,AP 592, La Paz 23096, Baja California, Mexico.</t>
  </si>
  <si>
    <t>jagomezg@ipn.mx</t>
  </si>
  <si>
    <t>0177-5103</t>
  </si>
  <si>
    <t>1616-1580</t>
  </si>
  <si>
    <t>DIS AQUAT ORGAN</t>
  </si>
  <si>
    <t>Dis. Aquat. Org.</t>
  </si>
  <si>
    <t>JUL 11</t>
  </si>
  <si>
    <t>10.3354/dao071033</t>
  </si>
  <si>
    <t>Fisheries; Veterinary Sciences</t>
  </si>
  <si>
    <t>084CU</t>
  </si>
  <si>
    <t>WOS:000240510300005</t>
  </si>
  <si>
    <t>Perelman, A; Dubinsky, Z; Martínez, R</t>
  </si>
  <si>
    <t>Perelman, Alexander; Dubinsky, Zvy; Martinez, Rosa</t>
  </si>
  <si>
    <t>Temperature dependence of superoxide dismutase activity in plankton</t>
  </si>
  <si>
    <t>JOURNAL OF EXPERIMENTAL MARINE BIOLOGY AND ECOLOGY</t>
  </si>
  <si>
    <t>Antarctic Ocean; enzyme activity; oxygen radicals; phytoplankton; plankton; superoxide dismutase; temperature effect</t>
  </si>
  <si>
    <t>OXIDATIVE STRESS; COLD-ACCLIMATION; OXYGEN; RADICALS; ENZYMES; ANION; MITOCHONDRIA; PROTECTION; DAMAGE; LIGHT</t>
  </si>
  <si>
    <t>The effect of temperature (from 1 to 37 degrees C) on in vitro effective superoxide dismutase (SOD) activity of several organisms was investigated and compared. Antarctic plankton, cultures of the alga Nannochloropsis sp., and the cyanobacterium Synechococcus strain WH 7803, and pure bovine erythrocyte SOD was studied. It was found that in all cases SOD activity increased with decreasing temperature within the temperature range assayed, in the Polar as well as the temperate plankton cells. This behavior of SOD is counterintuitive in terms of our experience when looking at enzyme activity or any other chemical reaction. We suggest a theoretical explanation for this apparently odd behavior. The advantage of such behavior is that the same amount of antioxidant will act better under low temperatures when reactive oxygen species (ROS) increase. Moreover, this protective process would act in vivo at a faster pace than the ex novo enzyme synthesis. (c) 2006 Elsevier B.V. All rights reserved.</t>
  </si>
  <si>
    <t>Bar Ilan Univ, Fac Life Sci, IL-52900 Ramat Gan, Israel; Univ Cantabria, Dept Mol Biol, Santander 39011, Spain</t>
  </si>
  <si>
    <t>Bar Ilan University; Universidad de Cantabria</t>
  </si>
  <si>
    <t>Martínez, R (corresponding author), Univ Cantabria, Dept Ciencias &amp; Tecn Agua, Los Castros S-N, E-39005 Santander, Spain.</t>
  </si>
  <si>
    <t>martiner@unican.es</t>
  </si>
  <si>
    <t>0022-0981</t>
  </si>
  <si>
    <t>1879-1697</t>
  </si>
  <si>
    <t>J EXP MAR BIOL ECOL</t>
  </si>
  <si>
    <t>J. Exp. Mar. Biol. Ecol.</t>
  </si>
  <si>
    <t>10.1016/j.jembe.2006.02.009</t>
  </si>
  <si>
    <t>Ecology; Marine &amp; Freshwater Biology</t>
  </si>
  <si>
    <t>056BG</t>
  </si>
  <si>
    <t>WOS:000238495300007</t>
  </si>
  <si>
    <t>Ackermann, M; Ahrens, J; Bai, X; Bartelt, M; Barwick, SW; Bay, RC; Becka, T; Becker, JK; Becker, KH; Berghaus, P; Bernardini, E; Bertrand, D; Boersma, DJ; Böser, S; Botner, O; Bouchta, A; Bouhali, O; Burgess, C; Burgess, T; Castermans, T; Chirkin, D; Collin, B; Conrad, J; Cooley, J; Cowen, DF; Davour, A; De Clercq, C; de los Heros, CP; Desiati, P; DeYoung, T; Ekström, P; Feser, T; Gaisser, TK; Ganugapati, R; Geenen, H; Gerhardt, L; Goldschmidt, A; Gross, A; Hallgren, A; Halzen, F; Hanson, K; Hardtke, DH; Harenberg, T; Hauschildt, T; Helbing, K; Hellwig, M; Herquet, P; Hill, GC; Hodges, J; Hubert, D; Hughey, B; Hulth, PO; Hultqvist, K; Hundertmark, S; Jacobsen, J; Kampert, KH; Karle, A; Kestel, M; Kohnen, G; Köpke, L; Kowalski, M; Kuehn, K; Lang, R; Leich, H; Leuthold, M; Liubarsky, I; Lundberg, J; Madsen, J; Marciniewski, P; Matis, HS; McParland, CP; Messarius, T; Minaeva, Y; Miocinovic, P; Morse, R; Münich, K; Nahnhauer, R; Nam, JW; Neunhöffer, T; Niessen, P; Nygren, DR; Olbrechts, P; Pohl, AC; Porrata, R; Price, PB; Przybylski, GT; Rawlins, K; Resconi, E; Rhode, W; Ribordy, M; Richter, S; Martino, JR; Sander, HG; Schlenstedt, S; Schneider, D; Schwarz, R; Silvestri, A; Solarz, M; Spiczak, GM; Spiering, C; Stamatikos, M; Steele, D; Steffen, P; Stokstad, RG; Sulanke, KH; Taboada, I; Tarasova, O; Thollander, L; Tilav, S; Wagner, W; Walck, C; Walter, M; Wang, YR; Wiebusch, CH; Wischnewski, R; Wissing, H; Woschnagg, K</t>
  </si>
  <si>
    <t>Ackermann, M.; Ahrens, J.; Bai, X.; Bartelt, M.; Barwick, S. W.; Bay, R. C.; Becka, T.; Becker, J. K.; Becker, K. -H.; Berghaus, P.; Bernardini, E.; Bertrand, D.; Boersma, D. J.; Boeser, S.; Botner, O.; Bouchta, A.; Bouhali, O.; Burgess, C.; Burgess, T.; Castermans, T.; Chirkin, D.; Collin, B.; Conrad, J.; Cooley, J.; Cowen, D. F.; Davour, A.; De Clercq, C.; de los Heros, C. P.; Desiati, P.; DeYoung, T.; Ekstroem, P.; Feser, T.; Gaisser, T. K.; Ganugapati, R.; Geenen, H.; Gerhardt, L.; Goldschmidt, A.; Gross, A.; Hallgren, A.; Halzen, F.; Hanson, K.; Hardtke, D. H.; Harenberg, T.; Hauschildt, T.; Helbing, K.; Hellwig, M.; Herquet, P.; Hill, G. C.; Hodges, J.; Hubert, D.; Hughey, B.; Hulth, P. O.; Hultqvist, K.; Hundertmark, S.; Jacobsen, J.; Kampert, K. H.; Karle, A.; Kestel, M.; Kohnen, G.; Koepke, L.; Kowalski, M.; Kuehn, K.; Lang, R.; Leich, H.; Leuthold, M.; Liubarsky, I.; Lundberg, J.; Madsen, J.; Marciniewski, P.; Matis, H. S.; McParland, C. P.; Messarius, T.; Minaeva, Y.; Miocinovic, P.; Morse, R.; Muenich, K.; Nahnhauer, R.; Nam, J. W.; Neunhoeffer, T.; Niessen, P.; Nygren, D. R.; Olbrechts, P.; Pohl, A. C.; Porrata, R.; Price, P. B.; Przybylski, G. T.; Rawlins, K.; Resconi, E.; Rhode, W.; Ribordy, M.; Richter, S.; Martino, J. Rodriguez; Sander, H. -G.; Schlenstedt, S.; Schneider, D.; Schwarz, R.; Silvestri, A.; Solarz, M.; Spiczak, G. M.; Spiering, C.; Stamatikos, M.; Steele, D.; Steffen, P.; Stokstad, R. G.; Sulanke, K. -H.; Taboada, I.; Tarasova, O.; Thollander, L.; Tilav, S.; Wagner, W.; Walck, C.; Walter, M.; Wang, Y. -R.; Wiebusch, C. H.; Wischnewski, R.; Wissing, H.; Woschnagg, K.</t>
  </si>
  <si>
    <t>Optical properties of deep glacial ice at the South Pole</t>
  </si>
  <si>
    <t>AIR-HYDRATE CRYSTALS; ANTARCTIC ICE; ABSORPTION-COEFFICIENTS; EAST ANTARCTICA; SNOWBALL EARTH; DUST; CORE; ULTRAVIOLET; SCATTERING; CLIMATE</t>
  </si>
  <si>
    <t>[ 1] We have remotely mapped optical scattering and absorption in glacial ice at the South Pole for wavelengths between 313 and 560 nm and depths between 1100 and 2350 m. We used pulsed and continuous light sources embedded with the AMANDA neutrino telescope, an array of more than six hundred photomultiplier tubes buried deep in the ice. At depths greater than 1300 m, both the scattering coefficient and absorptivity follow vertical variations in concentration of dust impurities, which are seen in ice cores from other Antarctic sites and which track climatological changes. The scattering coefficient varies by a factor of seven, and absorptivity ( for wavelengths less than similar to 450 nm) varies by a factor of three in the depth range between 1300 and 2300 m, where four dust peaks due to stadials in the late Pleistocene have been identified. In our absorption data, we also identify a broad peak due to the Last Glacial Maximum around 1300 m. In the scattering data, this peak is partially masked by scattering on residual air bubbles, whose contribution dominates the scattering coefficient in shallower ice but vanishes at similar to 1350 m where all bubbles have converted to nonscattering air hydrates. The wavelength dependence of scattering by dust is described by a power law with exponent - 0.90 +/- 0.03, independent of depth. The wavelength dependence of absorptivity in the studied wavelength range is described by the sum of two components: a power law due to absorption by dust, with exponent - 1.08 +/- 0.01 and a normalization proportional to dust concentration that varies with depth; and a rising exponential due to intrinsic ice absorption which dominates at wavelengths greater than similar to 500 nm.</t>
  </si>
  <si>
    <t>DESY, D-15738 Zeuthen, Germany; Univ Mainz, Inst Phys, D-55099 Mainz, Germany; Univ Delaware, Bartol Res Inst, Newark, DE 19716 USA; Univ Dortmund, Inst Phys, D-44221 Dortmund, Germany; Univ Calif Irvine, Dept Phys &amp; Astron, Irvine, CA 92717 USA; Univ Calif Berkeley, Dept Phys, Berkeley, CA 94720 USA; Univ Wuppertal, Dept Phys, D-42097 Wuppertal, Germany; Univ Libre Bruxelles, Sci Fac CP 230, B-1050 Brussels, Belgium; Univ Wisconsin, Dept Phys, Madison, WI 53706 USA; Uppsala Univ, Div High Energy Phys, SE-75121 Uppsala, Sweden; Stockholm Univ, Dept Phys, SE-10691 Stockholm, Sweden; Univ Mons, Fac Sci, B-7000 Mons, Belgium; Univ Calif Berkeley, Lawrence Berkeley Lab, Berkeley, CA 94720 USA; Penn State Univ, Dept Phys &amp; Astron, University Pk, PA 16802 USA; Vrije Univ Brussels, B-1050 Brussels, Belgium; Univ London Imperial Coll Sci &amp; Technol, Blackett Lab, London SW7 2BZ, England; Univ Wisconsin, Dept Phys, River Falls, WI 54022 USA</t>
  </si>
  <si>
    <t>Helmholtz Association; Deutsches Elektronen-Synchrotron (DESY); Johannes Gutenberg University of Mainz; University of Delaware; Dortmund University of Technology; University of California System; University of California Irvine; University of California System; University of California Berkeley; University of Wuppertal; Universite Libre de Bruxelles; University of Wisconsin System; University of Wisconsin Madison; Uppsala University; Stockholm University; University of Mons; United States Department of Energy (DOE); Lawrence Berkeley National Laboratory; University of California System; University of California Berkeley; Pennsylvania Commonwealth System of Higher Education (PCSHE); Pennsylvania State University; Pennsylvania State University - University Park; Vrije Universiteit Brussel; Imperial College London; University of Wisconsin System</t>
  </si>
  <si>
    <t>Ackermann, M (corresponding author), DESY, D-15738 Zeuthen, Germany.</t>
  </si>
  <si>
    <t>Matis, Howard/AAO-2082-2021; Hallgren, Allan/A-8963-2013; Matis, Howard S/HMV-9747-2023; Kowalski, Marek P/G-5546-2012; Tjus, Julia/G-8145-2012; Bernardini, Elisa/AAA-4810-2020; Hubert, Daan/I-1096-2019; Hundertmark, Stephan/A-6592-2010; Resconi, Elisa/I-3874-2016; Botner, Olga/A-9110-2013; Bouhali, Othmane/JXM-3572-2024; Wiebusch, Christopher H.V./G-6490-2012; DeYoung, Tyce/O-6895-2019; Diaz Velez, Juan Carlos/T-2788-2018</t>
  </si>
  <si>
    <t>Matis, Howard S/0000-0003-0764-4389; Tjus, Julia/0000-0002-1748-7367; Bernardini, Elisa/0000-0003-3108-1141; Hubert, Daan/0000-0002-4365-865X; Resconi, Elisa/0000-0003-0705-2770; Bouhali, Othmane/0000-0001-7139-7322; Wiebusch, Christopher H.V./0000-0002-6418-3008; DeYoung, Tyce/0000-0003-4873-3783; Desiati, Paolo/0000-0001-9768-1858; Bartelt, Matthias/0000-0003-4239-3490; Perez de los Heros, Carlos/0000-0002-2084-5866; Cooley, Jodi/0000-0001-6761-2042; Helbing, Klaus/0000-0003-2072-4172; Rhode, Wolfgang/0000-0003-2636-5000; De Clercq, Catherine/0000-0001-5266-7059; Hill, Gary/0000-0001-8881-6802; Kampert, Karl-Heinz/0000-0002-2805-0195; Diaz Velez, Juan Carlos/0000-0002-0087-0693; Taboada, Ignacio/0000-0003-3509-3457; Spiczak, Glenn/0000-0002-0030-0519; Ackermann, Markus/0000-0001-8952-588X</t>
  </si>
  <si>
    <t>JUL 8</t>
  </si>
  <si>
    <t>D13203</t>
  </si>
  <si>
    <t>10.1029/2005JD006687</t>
  </si>
  <si>
    <t>062OA</t>
  </si>
  <si>
    <t>WOS:000238953200002</t>
  </si>
  <si>
    <t>Deen, TJ; Griffin, WL; Begg, G; O'Reilly, SY; Natapov, LM; Hronsky, J</t>
  </si>
  <si>
    <t>Deen, Tara J.; Griffin, W. L.; Begg, G.; O'Reilly, Suzanne Y.; Natapov, L. M.; Hronsky, J.</t>
  </si>
  <si>
    <t>Thermal and compositional structure of the subcontinental lithospheric mantle: Derivation from shear wave seismic tomography</t>
  </si>
  <si>
    <t>seismic tomography; continental lithosphere; mantle composition; geotherms; lithosphere density; mathematical geophysics : numerical approximations and analysis; mineralogy and petrology : mantle processes seismology : lithosphere</t>
  </si>
  <si>
    <t>KIMBERLITE FIELD; HEAT-FLOW; BENEATH; THICKNESS; EVOLUTION; GEOTHERM; SIBERIA; CRUSTAL; CRATON</t>
  </si>
  <si>
    <t>[1] Seismic tomography can provide unique information on the structure of the subcontinental lithospheric mantle (SCLM), but seismic velocity reflects both temperature and composition. We present a methodology for evaluating and isolating the relative contributions of these effects, which produces maps of regional geotherm and broad compositional constraints on the SCLM from the inversion of shear wave (Vs) seismic tomography. This approach uses model geotherms quantized in steps of 2.5 mW/m(2) and three mantle compositions corresponding to typical Archean, Proterozoic, and Phanerozoic SCLM. Starting from an assumed composition for a volume of SCLM, lithospheric density at surface pressure and temperature is calculated for each geotherm at each point; the optimum geotherm is taken as the one yielding a density closest to the mean value derived from mantle xenoliths (3.31 g/cm(3)), since density varies with composition. Results requiring densities or geotherms outside the known natural range of these parameters worldwide require the choice of a different mantle composition. This technique, applied iteratively to a 275 km x 275 km Vs model developed by S. Grand (University of Texas, Austin), results in maps of the geotherm and regional density, which allow interpretation of SCLM composition within broad limits. These results can then be compared with local (paleo) geotherms and data for mantle composition, derived from xenolith suites. Application of this technique to the SCLM beneath Africa, Siberia, and North America shows good correlation with regional geological features, xenolith data, and other geophysical data.</t>
  </si>
  <si>
    <t>Macquarie Univ, Dept Earth &amp; Planetary Sci, GEMOC ARC Key Ctr, N Ryde, NSW 2109, Australia; CSIRO Explorat &amp; Min, N Ryde, NSW 2113, Australia; WMC Resources, Belmont, WA 6104, Australia</t>
  </si>
  <si>
    <t>Macquarie University; Commonwealth Scientific &amp; Industrial Research Organisation (CSIRO)</t>
  </si>
  <si>
    <t>Deen, TJ (corresponding author), British Antarctic Survey, High Cross,Madingley Rd, Cambridge CB3 0ET, England.</t>
  </si>
  <si>
    <t>tde@bas.ac.uk</t>
  </si>
  <si>
    <t>Martin, Tara J/F-2570-2017; GAU, geochemist/H-1985-2016; Begg, Graham/HLX-6174-2023; Martin, Tara/K-9174-2016; Griffin, William L/F-7713-2011; O'Reilly, Suzanne Y/A-1315-2008</t>
  </si>
  <si>
    <t>Martin, Tara/0000-0002-3620-1141; Griffin, William L/0000-0002-0980-2566; O'Reilly, Suzanne Y/0000-0002-3883-5498; Begg, Graham/0000-0002-9231-2954</t>
  </si>
  <si>
    <t>JUL 7</t>
  </si>
  <si>
    <t>Q07003</t>
  </si>
  <si>
    <t>10.1029/2005GC001120</t>
  </si>
  <si>
    <t>062NL</t>
  </si>
  <si>
    <t>WOS:000238951700001</t>
  </si>
  <si>
    <t>Catry, P; Phillips, RA; Phalan, B; Croxall, JP</t>
  </si>
  <si>
    <t>Catry, Paulo; Phillips, Richard A.; Phalan, Ben; Croxall, John P.</t>
  </si>
  <si>
    <t>Senescence effects in an extremely long-lived bird:: the grey-headed albatross Thalassarche chrysostoma</t>
  </si>
  <si>
    <t>PROCEEDINGS OF THE ROYAL SOCIETY B-BIOLOGICAL SCIENCES</t>
  </si>
  <si>
    <t>foraging performance; life histories; age; breeding performance</t>
  </si>
  <si>
    <t>AGING-RELATED MORTALITY; AGE-SPECIFIC PATTERNS; REPRODUCTIVE SUCCESS; BREEDING PERFORMANCE; ENERGY-EXPENDITURE; EXPERIENCE; EVOLUTION; DIVORCE; GULL</t>
  </si>
  <si>
    <t>Studies attempting to document reproductive or other pre-lethal senescence effects in wild birds typically face an array of problems, including flaws in statistical analyses, non-adaptive philopatry to deteriorating environments, confounding effects arising from cohort heterogeneity and differential death rates of phenotypes and the frequent pairing of old birds to younger mates. Furthermore, recent studies suggest that birds could maintain a high level of physical fitness until old age, before being struck by a catastrophic illness leading quickly to their demise. The presence of terminally ill individuals in most datasets (and their greater incidence in older age categories) may therefore provide a false impression of progressive senescence in cross-sectional analyses. This study was designed explicitly to avoid all the known pitfalls linked to the demonstration of progressive senescence in wild populations, and involved one of the very longest-lived bird species. We show that, during incubation, old (aged 35 years and over) male grey-headed albatrosses Thalassarche chrysostoma make longer foraging trips, and have lower daily mass gains, than experienced mid-aged individuals (aged up to 28 years). This is, to our knowledge, the first report documenting reduced foraging performance with old age. Hatching and breeding success of pairs composed of two old individuals were reduced in comparison to mid-aged pairs. Overall results were very similar when analyses were repeated using only individuals known to have survived 1 or 2 years beyond field measurements (hence probably not suffering from the effects of an advanced terminal illness). We conclude that extremely long-lived individuals usually experience some degree of general physical deterioration, leading to reduced foraging and breeding performance, long before their final demise.</t>
  </si>
  <si>
    <t>British Antarctic Survey, NERC, Cambridge CB3 0ET, England; Inst Super Psicol Aplicada, Unidade Invest Ecoetol, P-1100 Lisbon, Portugal</t>
  </si>
  <si>
    <t>UK Research &amp; Innovation (UKRI); Natural Environment Research Council (NERC); NERC British Antarctic Survey; Instituto Superior Psicologia Aplicada (ISPA)</t>
  </si>
  <si>
    <t>Catry, P (corresponding author), British Antarctic Survey, NERC, High Cross,Madingley Rd, Cambridge CB3 0ET, England.</t>
  </si>
  <si>
    <t>paulo.catry@nctc.pt</t>
  </si>
  <si>
    <t>Phalan, Ben/A-5783-2009; Catry, Paulo/I-5408-2013</t>
  </si>
  <si>
    <t>Phalan, Ben/0000-0001-7876-7226; Catry, Paulo/0000-0003-3000-0522</t>
  </si>
  <si>
    <t>Natural Environment Research Council [bas010017] Funding Source: researchfish; NERC [bas010017] Funding Source: UKRI</t>
  </si>
  <si>
    <t>0962-8452</t>
  </si>
  <si>
    <t>1471-2954</t>
  </si>
  <si>
    <t>P ROY SOC B-BIOL SCI</t>
  </si>
  <si>
    <t>Proc. R. Soc. B-Biol. Sci.</t>
  </si>
  <si>
    <t>10.1098/rspb.2006.3482</t>
  </si>
  <si>
    <t>Biology; Ecology; Evolutionary Biology</t>
  </si>
  <si>
    <t>Life Sciences &amp; Biomedicine - Other Topics; Environmental Sciences &amp; Ecology; Evolutionary Biology</t>
  </si>
  <si>
    <t>056OZ</t>
  </si>
  <si>
    <t>WOS:000238536300007</t>
  </si>
  <si>
    <t>Richard, EC; Tuck, AF; Aikin, KC; Kelly, KK; Herman, RL; Troy, RF; Hovde, SJ; Rosenlof, KH; Thompson, TL; Ray, EA</t>
  </si>
  <si>
    <t>Richard, E. C.; Tuck, A. F.; Aikin, K. C.; Kelly, K. K.; Herman, R. L.; Troy, R. F.; Hovde, S. J.; Rosenlof, K. H.; Thompson, T. L.; Ray, E. A.</t>
  </si>
  <si>
    <t>High-resolution airborne profiles of CH4, O3, and water vapor near tropical Central America in late January to early February 2004</t>
  </si>
  <si>
    <t>ANTARCTIC OZONE HOLE; LOWER STRATOSPHERE; AIRCRAFT OBSERVATIONS; TROPOPAUSE REGION; ICE; TROPOSPHERE; SPECTROMETER; DEHYDRATION; GREENHOUSE; CONVECTION</t>
  </si>
  <si>
    <t>[ 1] High-resolution ( 1 Hz at true airspeeds near 200 m s(-1)) observations of methane, ozone, water vapor, and temperature taken between the surface and 18 km from the WB57F aircraft near San Jose, Costa Rica (10 degrees N, 84 degrees W), are used to examine processes influencing the maintenance of these profiles. There was a clearly defined thermal tropopause on each of the eight profiles, accompanied by structure on methane-ozone scatterplots on the five profiles having methane observations. There was a well-defined decrease in methane mixing ratio between approximately 12 and 15 km in each of these five profiles, 2 - 5 km beneath the thermal tropopause, correlated with sharp changes in water vapor and equivalent potential temperature. The methane observations are interpreted as meaning that air is recirculated between the lower stratosphere and the upper tropical troposphere. At the point on each vertical profile where the water vapor had its minimum value, the air was never saturated or apparently supersaturated, although apparent supersaturation with respect to ice was observed in vertically extensive, near-adiabatic layers with tops some 200 - 300 m below the water vapor minimum on all profiles. One of the profiles also exhibited apparent supersaturation above its water vapor minimum, near 18 km. We examine the decrease in water vapor to minimal values as a four-stage process in which its mixing ratio was lowered from similar to 10 to similar to 3 ppmv, consider the role of solar and thermal evaporation of the smaller ice particles in the final stage of the dehydration process, and correlate features separating near-adiabatic layers above 150 hPa pressure altitude with local sea surface temperatures.</t>
  </si>
  <si>
    <t>Univ Colorado, Atmospher &amp; Space Phys Lab, Boulder, CO 80303 USA; NOAA, Meteorol Chem Program, Div Chem Sci, Earth Syst Res Lab, Boulder, CO 80305 USA; Univ Colorado, NOAA, Cooperat Inst Res Environm Sci, Boulder, CO 80309 USA; CALTECH, Jet Prop Lab, Pasadena, CA 91109 USA</t>
  </si>
  <si>
    <t>University of Colorado System; University of Colorado Boulder; National Oceanic Atmospheric Admin (NOAA) - USA; National Oceanic Atmospheric Admin (NOAA) - USA; University of Colorado System; University of Colorado Boulder; National Aeronautics &amp; Space Administration (NASA); NASA Jet Propulsion Laboratory (JPL); California Institute of Technology</t>
  </si>
  <si>
    <t>Richard, EC (corresponding author), Univ Colorado, Atmospher &amp; Space Phys Lab, 1234 Innovat Dr, Boulder, CO 80303 USA.</t>
  </si>
  <si>
    <t>adrian.f.tuck@noaa.gov</t>
  </si>
  <si>
    <t>Aikin, Kenneth C/I-1973-2013; Herman, Robert/H-9389-2012; Herman, Robert L./AAK-1986-2020; Rosenlof, Karen H/B-5652-2008; Tuck, Adrian/F-6024-2011; Ray, Eric/D-5941-2013</t>
  </si>
  <si>
    <t>Herman, Robert/0000-0001-7063-6424; Herman, Robert L./0000-0001-7063-6424; Rosenlof, Karen H/0000-0002-0903-8270; Tuck, Adrian/0000-0002-2074-0538; Ray, Eric/0000-0001-8727-9849</t>
  </si>
  <si>
    <t>JUL 6</t>
  </si>
  <si>
    <t>D13304</t>
  </si>
  <si>
    <t>10.1029/2005JD006513</t>
  </si>
  <si>
    <t>062NY</t>
  </si>
  <si>
    <t>WOS:000238953000001</t>
  </si>
  <si>
    <t>Hall, BL; Hoelzel, AR; Baroni, C; Denton, GH; Le Boeuf, BJ; Overturf, B; Töpf, AL</t>
  </si>
  <si>
    <t>Hall, B. L.; Hoelzel, A. R.; Baroni, C.; Denton, G. H.; Le Boeuf, B. J.; Overturf, B.; Topf, A. L.</t>
  </si>
  <si>
    <t>Holocene elephant seal distribution implies warmer-than-present climate in the Ross Sea</t>
  </si>
  <si>
    <t>PROCEEDINGS OF THE NATIONAL ACADEMY OF SCIENCES OF THE UNITED STATES OF AMERICA</t>
  </si>
  <si>
    <t>Antarctica; southern elephant seals</t>
  </si>
  <si>
    <t>ICE SHELF; ANTARCTICA; RETREAT; BAY</t>
  </si>
  <si>
    <t>We show that southern elephant seal (Mirounga leonina) colonies existed proximate to the Ross Ice Shelf during the Holocene, well south of their core sub-Antarctic breeding and molting grounds. We propose that this was due to warming (including a previously unrecognized period from approximate to 1,100 to 2,300 C-14 yr B.P.) that decreased coastal sea ice and allowed penetration of warmer-than-present climate conditions into the Ross Embayment. If, as proposed in the literature, the ice shelf survived this period, it would have been exposed to environments substantially warmer than present.</t>
  </si>
  <si>
    <t>Univ Maine, Climate Change Inst, Orono, ME 04469 USA; Univ Maine, Dept Earth Sci, Orono, ME 04469 USA; Univ Durham, Sch Biol &amp; Biomed Sci, Durham DH1 3HP, England; Univ Pisa, Dipartimento Sci Terra, Ist Geosci &amp; Georisorse, I-56126 Pisa, Italy; CNR, I-56126 Pisa, Italy; Univ Calif Santa Cruz, Inst Marine Studies, Santa Cruz, CA 95064 USA; Univ Calif Santa Cruz, Dept Biol, Santa Cruz, CA 95064 USA</t>
  </si>
  <si>
    <t>University of Maine System; University of Maine Orono; University of Maine System; University of Maine Orono; Durham University; Consiglio Nazionale delle Ricerche (CNR); Istituto di Geoscienze e Georisorse (IGG-CNR); University of Pisa; Consiglio Nazionale delle Ricerche (CNR); University of California System; University of California Santa Cruz; University of California System; University of California Santa Cruz</t>
  </si>
  <si>
    <t>Denton, GH (corresponding author), Univ Maine, Climate Change Inst, 303 Bryand, Orono, ME 04469 USA.</t>
  </si>
  <si>
    <t>debbies@maine.edu</t>
  </si>
  <si>
    <t>Baroni, Carlo/D-8184-2012</t>
  </si>
  <si>
    <t>Baroni, Carlo/0000-0001-5905-4650</t>
  </si>
  <si>
    <t>NATL ACAD SCIENCES</t>
  </si>
  <si>
    <t>2101 CONSTITUTION AVE NW, WASHINGTON, DC 20418 USA</t>
  </si>
  <si>
    <t>0027-8424</t>
  </si>
  <si>
    <t>P NATL ACAD SCI USA</t>
  </si>
  <si>
    <t>Proc. Natl. Acad. Sci. U. S. A.</t>
  </si>
  <si>
    <t>JUL 5</t>
  </si>
  <si>
    <t>10.1073/pnas.0604002103</t>
  </si>
  <si>
    <t>064DM</t>
  </si>
  <si>
    <t>WOS:000239069400013</t>
  </si>
  <si>
    <t>Cheng, CHC; Cziko, PA; Evans, CW</t>
  </si>
  <si>
    <t>Cheng, Chi-Hing C.; Cziko, Paul A.; Evans, Clive W.</t>
  </si>
  <si>
    <t>Nonhepatic origin of notothenioid antifreeze reveals pancreatic synthesis as common mechanism in polar fish freezing avoidance</t>
  </si>
  <si>
    <t>antifreeze glycoprotein-null liver; antifreeze paradigm shift; evolutionary adaptation; intestinal freeze avoidance; functional convergence</t>
  </si>
  <si>
    <t>ANTARCTIC EEL POUT; PEPTIDE HETEROGENEITY; INTESTINAL FLUID; MCMURDO SOUND; PROTEIN; ABSORPTION; EVOLUTION; WATER; GENE; GLYCOPEPTIDES</t>
  </si>
  <si>
    <t>Phylogenetically diverse polar and subpolar marine teleost fishes have evolved antifreeze proteins (AFPs) or antifreeze glycoproteins (AFGPs) to avoid inoculative freezing by internalized ice. For over three decades since the first fish antifreeze (AF) protein was discovered, many studies of teleost freezing avoidance showed hepatic AF synthesis and distribution within the circulation as pivotal in preventing the blood, and therefore the fish, from freezing. We have uncovered an important twist to this long-held paradigm: the complete absence of liver synthesis of AFGPs in any life stage of the Antarctic notothenioids, indicating that the liver plays no role in the freezing avoidance in these fishes. Instead, we found the exocrine pancreas to be the major site of AFGP synthesis and secretion in all life stages, and that pancreatic AFGPs enter the intestinal lumen via the pancreatic duct to prevent ingested ice from nucleating the hyposmotic intestinal fluids. AFGPs appear to remain undegraded in the intestinal milieu, and the composition and relative abundance of intestinal AFGP isoforms are nearly identical to serum AFGPs. Thus, the reabsorption of intact pancreas-derived intestinal AFGPs, and not the liver, is the likely source of circulatory AFGPs in notothenioid fishes. We examined diverse northern fish taxa and Antarctic eelpouts with hepatic synthesis of bloodborne AF and found that they also express secreted pancreatic AF of their respective types. The evolutionary convergence of this functional physiology underscores the hitherto largely unrecognized importance of intestinal freezing prevention in polar teleost freezing avoidance, especially in the chronically icy Antarctic waters.</t>
  </si>
  <si>
    <t>Univ Illinois, Dept Anim Biol, Urbana, IL 61801 USA; Univ Auckland, Sch Biol Sci, Auckland 1, New Zealand</t>
  </si>
  <si>
    <t>University of Illinois System; University of Illinois Urbana-Champaign; University of Auckland</t>
  </si>
  <si>
    <t>Cheng, CHC (corresponding author), Univ Illinois, Dept Anim Biol, 515 Moorill Hall,505 S Goodwin Ave, Urbana, IL 61801 USA.</t>
  </si>
  <si>
    <t>c-cheng@uiuc.edu</t>
  </si>
  <si>
    <t>Evans, Clive/AAZ-4699-2021</t>
  </si>
  <si>
    <t>Evans, Clive/0000-0003-2888-842X</t>
  </si>
  <si>
    <t>10.1073/pnas.0603796103</t>
  </si>
  <si>
    <t>WOS:000239069400061</t>
  </si>
  <si>
    <t>McKinley, GA; Takahashi, T; Buitenhuis, E; Chai, F; Christian, JR; Doney, SC; Jiang, MS; Lindsay, K; Moore, JK; Le Quéré, C; Lima, I; Murtugudde, R; Shi, L; Wetzel, P</t>
  </si>
  <si>
    <t>McKinley, G. A.; Takahashi, T.; Buitenhuis, E.; Chai, F.; Christian, J. R.; Doney, S. C.; Jiang, M. -S.; Lindsay, K.; Moore, J. K.; Le Quere, C.; Lima, I.; Murtugudde, R.; Shi, L.; Wetzel, P.</t>
  </si>
  <si>
    <t>North Pacific carbon cycle response to climate variability on seasonal to decadal timescales</t>
  </si>
  <si>
    <t>DISSOLVED INORGANIC CARBON; INTERANNUAL VARIABILITY; TROPICAL PACIFIC; MIXED-LAYER; MODEL SIMULATION; SUBTROPICAL GYRE; CO2 SINK; OCEAN; NUTRIENTS; SYSTEM</t>
  </si>
  <si>
    <t>[1] Climate variability drives significant changes in the physical state of the North Pacific, and there may be important impacts of this variability on the upper ocean carbon balance across the basin. We address this issue by considering the response of seven biogeochemical ocean models to climate variability in the North Pacific. The models' upper ocean pCO(2) and air-sea CO2 flux respond similarly to climate variability on seasonal to decadal timescales. Modeled seasonal cycles of pCO(2) and its temperature- and non-temperature-driven components at three contrasting oceanographic sites capture the basic features found in observations (Takahashi et al., 2002, 2006; Keeling et al., 2004; Brix et al., 2004). However, particularly in the Western Subarctic Gyre, the models have difficulty representing the temporal structure of the total pCO(2) seasonal cycle because it results from the difference of these two large and opposing components. In all but one model, the air-sea CO2 flux interannual variability (1 sigma) in the North Pacific is smaller ( ranges across models from 0.03 to 0.11 PgC/yr) than in the Tropical Pacific ( ranges across models from 0.08 to 0.19 PgC/yr), and the time series of the first or second EOF of the air-sea CO2 flux has a significant correlation with the Pacific Decadal Oscillation (PDO). Though air-sea CO2 flux anomalies are correlated with the PDO, their magnitudes are small ( up to +/- 0.025 PgC/yr ( 1 sigma)). Flux anomalies are damped because anomalies in the key drivers of pCO(2) ( temperature, dissolved inorganic carbon (DIC), and alkalinity) are all of similar magnitude and have strongly opposing effects that damp total pCO(2) anomalies.</t>
  </si>
  <si>
    <t>Univ Wisconsin, Dept Atmospher &amp; Ocean Sci, Madison, WI 53706 USA; Columbia Univ, Lamont Doherty Earth Observ, Palisades, NY 10964 USA; Max Planck Inst Biogeochem, Jena, Germany; British Antarctic Survey, Cambridge CB3 0ET, England; Univ Maine, Sch Marine Sci, Orono, ME 04469 USA; Univ Victoria, Canadian Ctr Climate Modeling &amp; Anal, Fisheries &amp; Oceans Canada, Victoria, BC V8W 2Y2, Canada; Woods Hole Oceanog Inst, Dept Marine Chem &amp; Geochem, Woods Hole, MA 02543 USA; Univ Massachusetts, Dept Environm Earth &amp; Ocean Sci, Boston, MA 02125 USA; Natl Ctr Atmospher Res, Climate &amp; Global Dynam Div, Boulder, CO 80307 USA; Univ Calif Irvine, Dept Earth Syst Sci, Irvine, CA 92697 USA; Univ Maryland, Earth Syst Sci Interdisciplinary Ctr, College Pk, MD 20742 USA; Max Planck Inst Meteorol, D-20146 Hamburg, Germany</t>
  </si>
  <si>
    <t>University of Wisconsin System; University of Wisconsin Madison; Columbia University; Max Planck Society; UK Research &amp; Innovation (UKRI); Natural Environment Research Council (NERC); NERC British Antarctic Survey; University of Maine System; University of Maine Orono; Environment &amp; Climate Change Canada; Canadian Centre for Climate Modelling &amp; Analysis (CCCma); University of Victoria; Fisheries &amp; Oceans Canada; Woods Hole Oceanographic Institution; University of Massachusetts System; University of Massachusetts Boston; National Center Atmospheric Research (NCAR) - USA; University of California System; University of California Irvine; University System of Maryland; University of Maryland College Park; Max Planck Society</t>
  </si>
  <si>
    <t>McKinley, GA (corresponding author), Univ Wisconsin, Dept Atmospher &amp; Ocean Sci, 1225 W Dayton St, Madison, WI 53706 USA.</t>
  </si>
  <si>
    <t>galen@aos.wisc.edu; taka@ldeo.columbia.edu; e.buitenhuis@uea.ac.uk; fchai@maine.edu; jim.christian@ec.gc.ca; sdoney@whoi.edu; mingshun.jiang@umb.edu; klindsay@ucar.edu; jkmoore@uci.edu; c.lequere@uea.ac.uk; ilima@whoi.edu; ragu@essic.umd.edu; leishi@maine.edu; patrick.wetzel@web.de</t>
  </si>
  <si>
    <t>Doney, Scott/F-9247-2010; Murtugudde, Raghu/M-9571-2019; Le Quéré, Corinne/C-2631-2017; Murtugudde, Raghu/A-2933-2008; Buitenhuis, Erik/A-7692-2012; Lima, Ivan/A-6823-2016</t>
  </si>
  <si>
    <t>Doney, Scott/0000-0002-3683-2437; Le Quéré, Corinne/0000-0003-2319-0452; Murtugudde, Raghu/0000-0002-3307-7114; McKinley, Galen/0000-0002-4072-9221; Buitenhuis, Erik/0000-0001-6274-5583; Lindsay, Keith/0000-0002-3672-1665; Lima, Ivan/0000-0001-5345-0652</t>
  </si>
  <si>
    <t>JUL 4</t>
  </si>
  <si>
    <t>C07S06</t>
  </si>
  <si>
    <t>10.1029/2005JC003173</t>
  </si>
  <si>
    <t>062OC</t>
  </si>
  <si>
    <t>WOS:000238953400003</t>
  </si>
  <si>
    <t>Reddy, TE; Arrigo, KR</t>
  </si>
  <si>
    <t>Reddy, Tasha E.; Arrigo, Kevin R.</t>
  </si>
  <si>
    <t>Constraints on the extent of the Ross Sea phytoplankton bloom</t>
  </si>
  <si>
    <t>PIGMENT CONCENTRATIONS; TAXONOMIC VARIABILITY; SOUTHERN-OCEAN; IRON; CIRCULATION; DYNAMICS; POLYNYA; MODEL; SHELF; ICE</t>
  </si>
  <si>
    <t>[ 1] An intense phytoplankton bloom forms over the continental shelf in the Ross Sea, Antarctica, every spring as the sea ice retreats during the expansion of the Ross Sea polynya. The extent of this bloom rarely covers the full area of the shelf for reasons that are not well understood. One clue may be found in satellite imagery spanning the last 25 years that shows frequently recurring, previously undescribed, large-scale plumes of high-chlorophyll water and jets of low-chlorophyll water demarking the northern boundary of the spring phytoplankton bloom. The plumes, with horizontal length scales of 100 - 200 km, appear at the same location each year. The spatial consistency of this pattern of jets and plumes suggests regulation by forcing that does not vary from year to year, such as the interaction between bathymetry and prevailing ocean currents. Here we present a modeling study indicating that this pattern in the spring phytoplankton bloom is caused by intrusions of offshore surface waters onto the continental shelf, guided by relatively deep polar shelf bathymetry. Our study suggests that currents from the Ross Sea gyre follow along the shelf break and prevent the phytoplankton bloom from extending farther toward the edge of the shelf, even when the waters there are ice-free, perhaps because the offshore waters have low iron concentrations. These results illustrate how phytoplankton distributions can be constrained by the interaction of deep bathymetry and surface geostrophic currents along the highly productive Antarctic continental shelf.</t>
  </si>
  <si>
    <t>Reddy, TE (corresponding author), Stanford Univ, Dept Geophys, Stanford, CA 94305 USA.</t>
  </si>
  <si>
    <t>tereddy@stanfordalumni.org</t>
  </si>
  <si>
    <t>Arrigo, Kevin/0000-0002-7364-876X</t>
  </si>
  <si>
    <t>C07005</t>
  </si>
  <si>
    <t>10.1029/2005JC003339</t>
  </si>
  <si>
    <t>WOS:000238953400004</t>
  </si>
  <si>
    <t>Pierre, JP; Norden, WS</t>
  </si>
  <si>
    <t>Reducing seabird bycatch in longline fisheries using a natural olfactory deterrent</t>
  </si>
  <si>
    <t>BIOLOGICAL CONSERVATION</t>
  </si>
  <si>
    <t>longline fishing; olfaction; mitigation; seabirds; New Zealand</t>
  </si>
  <si>
    <t>ANTARCTIC SEABIRDS; DIMETHYL SULFIDE; SOUTHERN-OCEAN; PETRELS; BIRDS; ATTRACTION; AVOIDANCE; IMPACT</t>
  </si>
  <si>
    <t>Longline fisheries throughout the world have frequent and often fatal interactions with seabirds. We experimentally tested one possible solution to seabird-fisheries interactions that was proposed by a New Zealand longline fisherman. This involved dripping school shark Galeorhinus yaleus liver oil on the ocean surface behind fishing vessels. We tested the efficacy of shark liver oil in reducing the numbers of seabirds attending fishing vessels and the number of dives seabirds executed in pursuit of pilchard Sardinops neopilchardus baits. We conducted trials in northern New Zealand where seabird assemblages include the globally vulnerable black petrel Procellaria parkinsoni. Shark liver oil was effective in reducing both seabird numbers and dives on baits, compared to canola oil and seawater control treatments. Comparisons of seabird responses to shark liver oil and vegetable oil suggest that shark liver oil acts as an olfactory or chemesthetic deterrent for seabirds. Further work should include testing the oil with additional seabird species and investigating active ingredients and habituation of seabirds to the oil in order to assess wider opportunities for long-term use of shark liver oil to reduce seabird bycatch. (c) 2006 Elsevier Ltd. All rights reserved.</t>
  </si>
  <si>
    <t>Dept Conservat, Marine Conservat Unit, Wellington 6001, New Zealand</t>
  </si>
  <si>
    <t>Pierre, JP (corresponding author), Dept Conservat, Marine Conservat Unit, POB 10-420, Wellington 6001, New Zealand.</t>
  </si>
  <si>
    <t>jpierre@doc.govt.nz; wnorden@doc.govt.nz</t>
  </si>
  <si>
    <t>Fennell, Hannah/AAI-1408-2019</t>
  </si>
  <si>
    <t>ELSEVIER SCI LTD</t>
  </si>
  <si>
    <t>THE BOULEVARD, LANGFORD LANE, KIDLINGTON, OXFORD OX5 1GB, OXON, ENGLAND</t>
  </si>
  <si>
    <t>0006-3207</t>
  </si>
  <si>
    <t>BIOL CONSERV</t>
  </si>
  <si>
    <t>Biol. Conserv.</t>
  </si>
  <si>
    <t>JUL</t>
  </si>
  <si>
    <t>10.1016/j.biocon.2006.01.002</t>
  </si>
  <si>
    <t>Biodiversity Conservation; Ecology; Environmental Sciences</t>
  </si>
  <si>
    <t>055CO</t>
  </si>
  <si>
    <t>WOS:000238427800009</t>
  </si>
  <si>
    <t>Reid, K; Davis, D; Staniland, IJ</t>
  </si>
  <si>
    <t>Reid, Keith; Davis, Dexter; Staniland, Iain J.</t>
  </si>
  <si>
    <t>Spatial and temporal variability in the fish diet of Antarctic fur seal (Arctocephalus gazella) in the Atlantic sector of the Southern Ocean</t>
  </si>
  <si>
    <t>CANADIAN JOURNAL OF ZOOLOGY-REVUE CANADIENNE DE ZOOLOGIE</t>
  </si>
  <si>
    <t>KRILL POPULATION-DYNAMICS; KING-GEORGE-ISLAND; MILK FATTY-ACIDS; SHETLAND ISLANDS; BREEDING-SEASON; ORKNEY ISLANDS; HARMONY-POINT; SUMMER; PREY; ECOSYSTEMS</t>
  </si>
  <si>
    <t>The spatial and temporal variability in the fish component of the diet of Antarctic fur seals (Arctocephalus gazella (Peters, 1875)) in the Atlantic sector of the Southern Ocean was examined using diet data from 10 sites in the region including a 13-year time series from South Georgia. The fish species composition in the diet at each site showed a strong relationship with the local marine habitat/topography. The absence of formerly harvested fish species indicates a lack of recovery of stocks of Notothenia rossii Richardson, 1844 at South Georgia and Champsocephalus gunnari Lonnberg, 1905 at the South Orkney Islands. At South Georgia, Protomyctophum choriodon Hulley, 1981, Lepidonotothen larseni (Lonnberg, 1905), and C. gunnari were the most important species in the diet between 1991 and 2004. Variability in the occurrence of C. gunnari was driven mainly by annual scale processes, particularly those that influence the availability of Antarctic krill (Euphausia superba (Dana, 1852)). The occurrence of the pelagic P. choriodon was primarily influenced by shorter-term water mass changes within the foraging range of the seals. The fish composition in the diet reflects differences in marine habitat/topography, as well as variability, at a range of time scales that reflect environmental variability and harvesting.</t>
  </si>
  <si>
    <t>British Antarctic Survey, NERC, Cambridge CB3 0ET, England</t>
  </si>
  <si>
    <t>Reid, K (corresponding author), British Antarctic Survey, NERC, High Cross,Madingley Rd, Cambridge CB3 0ET, England.</t>
  </si>
  <si>
    <t>k.reid@bas.ac.uk</t>
  </si>
  <si>
    <t>Staniland, Iain/I-4725-2012</t>
  </si>
  <si>
    <t>Staniland, Iain/0000-0003-2736-9134</t>
  </si>
  <si>
    <t>NATL RESEARCH COUNCIL CANADA-N R C RESEARCH PRESS</t>
  </si>
  <si>
    <t>OTTAWA</t>
  </si>
  <si>
    <t>BUILDING M 55, OTTAWA, ON K1A 0R6, CANADA</t>
  </si>
  <si>
    <t>0008-4301</t>
  </si>
  <si>
    <t>CAN J ZOOL</t>
  </si>
  <si>
    <t>Can. J. Zool.-Rev. Can. Zool.</t>
  </si>
  <si>
    <t>10.1139/Z06-071</t>
  </si>
  <si>
    <t>078CQ</t>
  </si>
  <si>
    <t>WOS:000240079200013</t>
  </si>
  <si>
    <t>Conil, S; Menéndez, CG</t>
  </si>
  <si>
    <t>Conil, S.; Menendez, C. G.</t>
  </si>
  <si>
    <t>Climate fluctuations of the Weddell Sea and its surroundings in a transient climate change scenario</t>
  </si>
  <si>
    <t>CLIMATE DYNAMICS</t>
  </si>
  <si>
    <t>HEMISPHERE ATMOSPHERIC CIRCULATION; ANTARCTIC PENINSULA; ICE VARIABILITY; WARMING TRENDS; MODEL; SIMULATION; PACIFIC; CO2; TEMPERATURES; OSCILLATION</t>
  </si>
  <si>
    <t>The response of the Weddell Sea and Antarctic Peninsula to anthropogenic forcing simulated by a global climate model is analyzed. The model, despite its low resolution, is able to capture several aspects of the observed regional pattern of climate change. A strong warming and depletion of the sea ice cover in the western Weddell Sea contrasts with a slight cooling and a sea-ice extension in the eastern Weddell Sea. This simulated long-term climate change is modulated by interdecadal variability but also affected by some abrupt regional changes in the oceanic mixed layer depth. Between 1960 and 2030 a reorganization of the deep convection activity in the Weddell Sea sustains the opposition between the eastern and western Weddell Sea. The deep convection collapses in the western Weddell Sea in the 2030s. The sea ice retreat trend is then followed by an increase of the sea ice cover in the western Weddell Sea. In the eastern Weddell Sea another abrupt collapse of the deep convection activity occurs around 2080. This event is followed by a rapid cooling and sea ice extension during the next 20 years. Most of the surface changes are associated with large-scale atmospheric circulation changes that project on the dominant mode of natural variability but also with oceanic convection and circulation changes.</t>
  </si>
  <si>
    <t>Meteo France, CNRM, GMEC UDC, F-31057 Toulouse 1, France; UBA, CONICET, Ctr Invest Mar &amp; Atmosfera, Buenos Aires, DF, Argentina</t>
  </si>
  <si>
    <t>Meteo France; Consejo Nacional de Investigaciones Cientificas y Tecnicas (CONICET); University of Buenos Aires</t>
  </si>
  <si>
    <t>Conil, S (corresponding author), Meteo France, CNRM, GMEC UDC, 42 Av G Coriolis, F-31057 Toulouse 1, France.</t>
  </si>
  <si>
    <t>sebastien.conil@cnrm.meteo.fr</t>
  </si>
  <si>
    <t>Menendez, Claudio Guillermo/0000-0002-2779-7123</t>
  </si>
  <si>
    <t>0930-7575</t>
  </si>
  <si>
    <t>1432-0894</t>
  </si>
  <si>
    <t>CLIM DYNAM</t>
  </si>
  <si>
    <t>Clim. Dyn.</t>
  </si>
  <si>
    <t>10.1007/s00382-006-0113-0</t>
  </si>
  <si>
    <t>044GW</t>
  </si>
  <si>
    <t>WOS:000237661400005</t>
  </si>
  <si>
    <t>Jin, YM; DeVries, AL</t>
  </si>
  <si>
    <t>Jin, Yumi; DeVries, Arthur L.</t>
  </si>
  <si>
    <t>Antifreeze glycoprotein levels in Antarctic notothenioid fishes inhabiting different thermal enviroments and the effect of warm acclimation</t>
  </si>
  <si>
    <t>COMPARATIVE BIOCHEMISTRY AND PHYSIOLOGY B-BIOCHEMISTRY &amp; MOLECULAR BIOLOGY</t>
  </si>
  <si>
    <t>AFGP; Antarctic fish; notothenioid; antifreeze glycoprotein; quantification; warm acclimation; TCA precipitation; thermal hysteresis</t>
  </si>
  <si>
    <t>FLOUNDER PSEUDOPLEURONECTES-AMERICANUS; POINT-DEPRESSING GLYCOPROTEINS; COLD-WATER FISHES; COD GADUS-MORHUA; FREEZING-POINT; WINTER FLOUNDER; PROTEIN ANTIFREEZE; SEASONAL-CHANGES; GLYCOPEPTIDES; TEMPERATURE</t>
  </si>
  <si>
    <t>A quantification method was developed to determine the concentrations of the major antifreeze glycoprotein (AFGP) isoforms in the blood of Antarctic notothenioid fishes. Serum samples were precipitated with 2.5% TCA and the supernatant containing AFGPs were chromatographed on an HPLC size exclusion column and the concentrations of the major AFGP size classes were determined from the areas of the corresponding peaks in the elution profile. Eight species of Antarctic notothenioid fishes were examined and their blood AFGP concentrations varied from 5 to 3 5 mg/mL. All of these fishes synthesized both the large and small AFGPs, but maintained higher levels of small AFGPs than the large ones in their blood. The species inhabiting more severe water environments (lower temperature and presence of ice) had higher serum AFGP levels than those in milder environments. The cryopelagic Pagothenia borchgrevinki decreased their blood AFGP concentrations in response to warm acclimation, but to a much lower extent in comparison to the antifreeze-bearing fishes in the Northern Hemisphere. After being warm acclimated at +4 degrees C for 16 weeks, the serum concentrations of the small and large AFGPs were decreased by about 60% and 20%, respectively. (c) 2006 Elsevier Inc. All rights reserved.</t>
  </si>
  <si>
    <t>Univ Illinois, Dept Anim Biol, Urbana, IL 61801 USA; Univ Illinois, Dept Mol &amp; Integrat Biol, Urbana, IL 61801 USA</t>
  </si>
  <si>
    <t>University of Illinois System; University of Illinois Urbana-Champaign; University of Illinois System; University of Illinois Urbana-Champaign</t>
  </si>
  <si>
    <t>DeVries, AL (corresponding author), Univ Illinois, Dept Anim Biol, Urbana, IL 61801 USA.</t>
  </si>
  <si>
    <t>adevries@uiuc.edu</t>
  </si>
  <si>
    <t>1096-4959</t>
  </si>
  <si>
    <t>COMP BIOCHEM PHYS B</t>
  </si>
  <si>
    <t>Comp. Biochem. Physiol. B-Biochem. Mol. Biol.</t>
  </si>
  <si>
    <t>10.1016/j.cbpb.2006.03.006</t>
  </si>
  <si>
    <t>Biochemistry &amp; Molecular Biology; Zoology</t>
  </si>
  <si>
    <t>062QB</t>
  </si>
  <si>
    <t>WOS:000238958500004</t>
  </si>
  <si>
    <t>Hunt, BPV; Hosie, GW</t>
  </si>
  <si>
    <t>Hunt, Brian P. V.; Hosie, Graham W.</t>
  </si>
  <si>
    <t>The seasonal succession of zooplankton in the Southern Ocean south of Australia, part I: The seasonal ice zone</t>
  </si>
  <si>
    <t>DEEP-SEA RESEARCH PART I-OCEANOGRAPHIC RESEARCH PAPERS</t>
  </si>
  <si>
    <t>Antarctic; sea ice; seasonal cycle; zooplankton; multivariate analysis; Continuous Plankton Recorder</t>
  </si>
  <si>
    <t>CONTINUOUS PLANKTON RECORDER; RHINCALANUS-GIGAS COPEPODA; KRILL EUPHAUSIA-SUPERBA; ANTARCTIC POLAR FRONT; LIFE-CYCLE STRATEGIES; EASTERN WEDDELL SEA; POPULATION-STRUCTURE; ATLANTIC SECTOR; SCOTIA SEA; CALANOIDES-ACUTUS</t>
  </si>
  <si>
    <t>Between November 2001 and March 2002 an Australian/Japanese collaborative study completed six passes of a transect line in the Seasonal-Ice Zone (south of 62 degrees S) along 140 degrees E. Zooplankton samples were collected with a NORPAC net on 22-28 November, and a Continuous Plankton Recorder on 10-15 January, 11-12 February, 19-22 February, 25-26 February, and 10-11 March. Zooplankton densities were lowest on 22-28 November (ave = 61 individuals (ind) m(-3)), when almost the entire transect was covered by sea ice. By 10-15 January sea surface temperature had increased by similar to 2 degrees C across the transect line, and the study area was ice-free. Total zooplankton abundance had increased to maximum levels for the season (ave = 1301 ind m(-3); max = 1979 ind m(-3)), dominated by a Peak Community comprising Oithona similis, Ctenocalanus citer, Clausocalanus laticeps, foraminiferans, Limacina spp., appendicularians, Rhincalanus gigas and large calanoid copepodites (C1-3). Total densities declined on each subsequent transect, returning to an average of 169 ind m-3 on 10-11 March. The seasonal density decline was due to the decline in densities of Peak Community taxa, but coincided with the rise of Euphausia superba larvae into the surface waters, increased densities of Salpa thompsoni, and an increased contribution of C4 to adult stages to the populations of Calanoides acutus, Calanus propinquus and Calanus simillimus. The seasonal community succession appeared to be influenced by the low sea ice extent and southward projection of the ACC in this region. The relatively warm ACC waters, together with low krill biomass, favoured high densities of small grazers during the January/February bloom conditions. The persistence of relatively warm surface waters in March and the seasonal decrease in chlorophyll a biomass provided favorable conditions for salps, which were able to penetrate south of the Southern Boundary. (c) 2006 Elsevier Ltd. All rights reserved.</t>
  </si>
  <si>
    <t>Univ British Columbia, Dept Earth &amp; Ocean Sci, Vancouver, BC V6T 124, Canada; Australian Antarctic Div, Kingston, Tas 7050, Australia; Inst Antarctic &amp; So Ocean Studies, Hobart, Tas 7001, Australia</t>
  </si>
  <si>
    <t>University of British Columbia; Australian Antarctic Division</t>
  </si>
  <si>
    <t>Hunt, BPV (corresponding author), Univ British Columbia, Dept Earth &amp; Ocean Sci, 6339 Stores Rd, Vancouver, BC V6T 124, Canada.</t>
  </si>
  <si>
    <t>bhunt@eos.ubc.ca</t>
  </si>
  <si>
    <t>0967-0637</t>
  </si>
  <si>
    <t>DEEP-SEA RES PT I</t>
  </si>
  <si>
    <t>Deep-Sea Res. Part I-Oceanogr. Res. Pap.</t>
  </si>
  <si>
    <t>10.1016/j.dsr.2006.05.001</t>
  </si>
  <si>
    <t>080QD</t>
  </si>
  <si>
    <t>WOS:000240261700007</t>
  </si>
  <si>
    <t>The seasonal succession of zooplankton in the Southern Ocean south of Australia, part II: The Sub-Antarctic to Polar Frontal Zones</t>
  </si>
  <si>
    <t>seasonal cycle; continuous plankton recorder; Sub-Antarctic; Polar Frontal Zone; zooplankton; multivariate analysis.</t>
  </si>
  <si>
    <t>CONTINUOUS PLANKTON RECORDER; EASTERN WEDDELL SEA; CIRCUMPOLAR CURRENT; ATLANTIC SECTOR; DISTRIBUTION PATTERNS; COPEPOD POPULATIONS; CARBON-DIOXIDE; FECAL MATERIAL; VERTICAL FLUX; LIFE-CYCLES</t>
  </si>
  <si>
    <t>Between October 2001 and March 2002 six transects were completed at monthly intervals in the Sub-Antarctic Zone (SAZ) and Inter-Sub-Antarctic Front Zone (ISAFZ)/Polar Frontal Zone (PFZ) in the Southern Ocean south of Australia. Zooplankton were collected with a Continuous Plankton Recorder and NORPAC net and multivariate analysis was used to analyse the seasonal succession of communities. Despite strong, seasonally consistent, biogeographic differences between the SAZ and ISAFZ/PFZ, community structure in all zones was dominated by a suite of common taxa. These included the ubiquitous Oithona similis, foraminiferans and appendicularians (Core taxa), occurring in &gt; 97% of samples and contributing an average of 75% to total sample abundance, and Calanus simillimus, Rhincalanus gigas, Ctenocalanus citer, Clausocalanus brevipes, Clausocalanus laticeps, Oithona frigida, Limacina spp. and chaetognaths (Summer taxa), present in &gt; 57% of samples and occurring at seasonally high densities. Because of the dominance of the Core and Summer taxa, the seasonal succession was most clearly evident as a change in zooplankton densities. In October densities averaged &lt; 15 ind m(-3), rising to 52 ind m(-3) (max = 92 ind m(-3)) in November, and subsequently increasing slowly through to January (ave = 115 ind m(-3); max = 255 ind m(-3)). Densities peaked abruptly in February (ave = 634 ind m(-3); max = 1593 ind m-3), and remained relatively high in March (ave = 193 ind m(-3); max = 789 ind m(-3)). A latitudinal lag in seasonal development was observed with peak densities occurring first in the SAZ (February) and then in the ISAFZ/ PFZ (March). The seasonal community succession was strongly influenced by species population cycles. The role of zooplankton in biogeochemical cycling in the SAZ and ISAFZ/PFZ was discussed in the light of past sediment trap data collected from the study area. (c) 2006 Elsevier Ltd. All rights reserved.</t>
  </si>
  <si>
    <t>10.1016/j.dsr.2006.05.002</t>
  </si>
  <si>
    <t>WOS:000240261700008</t>
  </si>
  <si>
    <t>Mollenhauer, G; McManus, JF; Benthien, A; Müller, PJ; Eglinton, TI</t>
  </si>
  <si>
    <t>Mollenhauer, Gesine; McManus, Jerry F.; Benthien, Albert; Mueller, Peter J.; Eglinton, Timothy I.</t>
  </si>
  <si>
    <t>Rapid lateral particle transport in the Argentine Basin:: Molecular 14C and 230Thxs evidence</t>
  </si>
  <si>
    <t>sediment transport; radiocarbon dating; Th-230(xs); U-37(K ') sea-surface temperatures; core-top sediments; South Atlantic Ocean; Argentine and Brazil Basins; Brazil-Malvinas Confluence</t>
  </si>
  <si>
    <t>ORGANIC-CARBON ACCUMULATION; CONTINENTAL-MARGIN; SEDIMENT ACCUMULATION; SOUTH-ATLANTIC; SURFACE SEDIMENTS; NORTH-ATLANTIC; RADIOCARBON; MATTER; ALKENONE; BOUNDARY</t>
  </si>
  <si>
    <t>Recent studies have revealed that lateral transport and focusing of particles strongly influences the depositional patterns of organic matter in marine sediments. Transport can occur in the water column prior to initial deposition or following sediment re-suspension. In both cases, fine-grained particles and organic-rich aggregates are more susceptible to lateral transport than coarse-grained particles (e.g., foraminiferal tests) because of the slower sinking velocities of the former. This may lead to spatial and, in the case of redistribution of re-suspended sediments, temporal decoupling of organic matter from coarser sediment constituents. Prior studies from the Argentine Basin have yielded evidence that suspended particles are displaced significant distances (100-1000km) northward and downslope by strong surface and/or bottom currents. These transport processes result in anomalously cold alkenone-derived sea-surface temperature (SST) estimates (up to 6 degrees C colder than measured SST) and in the presence of frustules of Antarctic diatom species in surface sediments from this area. Here we examine advective transport processes through combined measurements of compound-specific radiocarbon ages of marine phytoplankton-derived biomarkers (alkenones) from core tops and excess Th-230 (Th-230(xs))-derived focusing factors for late Holocene sediments from the Argentine Basin. On the continental slope, we observe Th-230(xs)-based focusing actors of 1.4-3.2 at sites where alkenone-based SST estimates were 4-6 degrees C colder than measured values. In contrast, alkenone radiocarbon data suggest coeval deposition of marine biomarkers and planktic foraminifera, as alkenones in core tops were younger than, or similar in age to, foraminifera. We therefore infer that the transport processes leading to the lateral displacement of these sediment components are rapid, and hence probably occur in the upper water column (&lt; 1500 m). (c) 2006 Elsevier Ltd. All rights reserved.</t>
  </si>
  <si>
    <t>Woods Hole Oceanog Inst, Woods Hole, MA 02543 USA; Univ Bremen, Fachbereich Geowissensch, D-2800 Bremen 33, Germany</t>
  </si>
  <si>
    <t>Woods Hole Oceanographic Institution; University of Bremen</t>
  </si>
  <si>
    <t>Mollenhauer, G (corresponding author), Woods Hole Oceanog Inst, Woods Hole, MA 02543 USA.</t>
  </si>
  <si>
    <t>gmollenhauer@uni-bremen.de</t>
  </si>
  <si>
    <t>Mollenhauer, Gesine/AAD-8167-2019; Mollenhauer, Gesine/B-5190-2015</t>
  </si>
  <si>
    <t>Mollenhauer, Gesine/0000-0001-5138-564X; Mollenhauer, Gesine/0000-0001-5138-564X; Eglinton, Timothy/0000-0001-5060-2155; mcmanus, jerry/0000-0002-7365-1600; Benthien, Albert/0000-0002-9159-3109</t>
  </si>
  <si>
    <t>1879-0119</t>
  </si>
  <si>
    <t>10.1016/j.dsr.2006.05.005</t>
  </si>
  <si>
    <t>WOS:000240261700009</t>
  </si>
  <si>
    <t>Zhou, M; Niller, PP; Zhu, YW; Dorland, RD</t>
  </si>
  <si>
    <t>Zhou, Meng; Niller, Pearn P.; Zhu, Yiwu; Dorland, Ryan D.</t>
  </si>
  <si>
    <t>The western boundary current in the Bransfield Strait, Antarctica</t>
  </si>
  <si>
    <t>Southern Ocean; mesoscale; Bransfield Strait; Bransfield Current; fronts; currents</t>
  </si>
  <si>
    <t>PENINSULA; CIRCULATION; REGION; SHELF; OCEAN; FALL</t>
  </si>
  <si>
    <t>The Bransfield Strait west of the Antarctic Peninsula has been considered as a highly productive region for all trophic levels from primary production, to zooplankton aggregations, especially krill, to birds and mammals. The western boundary current, referred to as the Bransfield Current, plays an important role in determining the transport and retention of biota in the Bransfield Strait. Following the study of surface current characteristics in the strait using 39 tracks of mixed-layer drifters deployed between 1988 and 1990, a high-resolution transect of temperature, salinity and current measurements crossing the Bransfield Current was conducted between 13 and 14 March 2004, for understanding its horizontal and vertical structure and dynamics. The results from current, temperature and salinity measurements using a vessel mounted narrow band acoustic doppler current profiler and conductivity-temperature-depth (CTD) sensors revealed the magnitude of this current of approximately 50 cm/s within a horizontal distance of 15 km associated with a narrow and deep density front 4-6 km wide and 500 m deep. The comparison between the direct current measurements and the geostrophic current estimates from the density field implies that the Bransfield Current is geostrophically balanced. The mechanism forming this current is explored with Sverdrup dynamics. Results indicate that the negative wind stress curl and beta-effect lead to a southwestward transport in the Bransfield Strait. When this transport is restricted by land and shelves, a narrow western boundary current is formed. (c) 2006 Elsevier Ltd. All rights reserved.</t>
  </si>
  <si>
    <t>Univ Massachusetts, Dept Environm Earth &amp; Ocean Sci, Boston, MA 02125 USA; Univ Calif San Diego, Scripps Inst Oceanog, La Jolla, CA 92093 USA</t>
  </si>
  <si>
    <t>University of Massachusetts System; University of Massachusetts Boston; University of California System; University of California San Diego; Scripps Institution of Oceanography</t>
  </si>
  <si>
    <t>Zhou, M (corresponding author), Univ Massachusetts, Dept Environm Earth &amp; Ocean Sci, 100 Morrissey Blvd, Boston, MA 02125 USA.</t>
  </si>
  <si>
    <t>meng.zhou@umb.edu</t>
  </si>
  <si>
    <t>10.1016/j.dsr.2006.04.003</t>
  </si>
  <si>
    <t>WOS:000240261700010</t>
  </si>
  <si>
    <t>Rasper, M</t>
  </si>
  <si>
    <t>Rasper, Martin</t>
  </si>
  <si>
    <t>White secret. Four kilometres under the Antarctic ice, an unspoiled world entices - when the drill introduces no mud.</t>
  </si>
  <si>
    <t>DU-DIE ZEITSCHRIFT DER KULTUR</t>
  </si>
  <si>
    <t>German</t>
  </si>
  <si>
    <t>TA-MEDIA AG</t>
  </si>
  <si>
    <t>8048 ZURICH</t>
  </si>
  <si>
    <t>BASLERSTRASSE 30 POSTFACH, 8048 ZURICH, SWITZERLAND</t>
  </si>
  <si>
    <t>0012-6837</t>
  </si>
  <si>
    <t>DU-Z KULTUR</t>
  </si>
  <si>
    <t>Du-Die Z. Kult.</t>
  </si>
  <si>
    <t>JUL-AUG</t>
  </si>
  <si>
    <t>Art</t>
  </si>
  <si>
    <t>Arts &amp; Humanities Citation Index (A&amp;HCI)</t>
  </si>
  <si>
    <t>062LL</t>
  </si>
  <si>
    <t>WOS:000238945800059</t>
  </si>
  <si>
    <t>Webster, NS; Negri, AP</t>
  </si>
  <si>
    <t>Webster, Nicole S.; Negri, Andrew P.</t>
  </si>
  <si>
    <t>Site-specific variation in Antarctic marine biofilms established on artificial surfaces</t>
  </si>
  <si>
    <t>ENVIRONMENTAL MICROBIOLOGY</t>
  </si>
  <si>
    <t>16S RIBOSOMAL-RNA; GRADIENT GEL-ELECTROPHORESIS; SULFATE-REDUCING BACTERIA; POLYMERASE CHAIN-REACTION; GRAM-POSITIVE BACTERIA; WINTER QUARTERS BAY; DNA G+C CONTENT; MICROBIAL COMMUNITIES; MCMURDO-STATION; OLIGONUCLEOTIDE PROBES</t>
  </si>
  <si>
    <t>The community structure and composition of marine microbial biofilms established on glass surfaces was investigated across three differentially contaminated Antarctic sites within McMurdo Sound. Diverse microbial communities were revealed at all sites using fluorescence in situ hybridization (FISH) and denaturing gradient gel electrophoresis (DGGE) techniques. Sequencing of excised DGGE bands demonstrated close affiliation with known psychrophiles or undescribed bacteria also recovered from the Antarctic environment. The majority of bacterial sequences were affiliated to the Gammaproteobacteria, Cytophaga/Flavobacteria of Bacteroidetes (CFB), Verrucomicrobia and Planctomycetales. Principal components analysis of quantitative FISH data revealed distinct differences in community composition between sites. Each of the sites were dominated by different bacterial groups: Alphaproteobacteria, Gammaproteobacteria and CFB at the least impacted site, Cape Armitage; green sulfur and sulfate reducing bacteria near the semi-impacted Scott Base and Planctomycetales and sulfate reducing bacteria near the highly impacted McMurdo Station. The highest abundance of archaea was detected near Scott Base (2.5% of total bacteria). Multivariate analyses (non-metric multidimensional scaling and analysis of similarities) of DGGE patterns revealed greater variability in community composition between sites than within sites. This is the first investigation of Antarctic biofilm structure and FISH results suggest that anthropogenic impacts may influence the complex composition of microbial communities.</t>
  </si>
  <si>
    <t>Univ Canterbury, Dept Biol Sci, Christchurch 1, New Zealand; Australian Inst Marine Sci, Townsville, Qld 4810, Australia</t>
  </si>
  <si>
    <t>University of Canterbury; Australian Institute of Marine Science</t>
  </si>
  <si>
    <t>Webster, NS (corresponding author), Univ Canterbury, Dept Biol Sci, Christchurch 1, New Zealand.</t>
  </si>
  <si>
    <t>n.webster@aims.gov.au</t>
  </si>
  <si>
    <t>Webster, Nicole/G-4980-2011; Negri, Andrew/G-9909-2017</t>
  </si>
  <si>
    <t>Webster, Nicole/0000-0002-4753-5278; Negri, Andrew/0000-0003-1388-7395</t>
  </si>
  <si>
    <t>1462-2912</t>
  </si>
  <si>
    <t>1462-2920</t>
  </si>
  <si>
    <t>ENVIRON MICROBIOL</t>
  </si>
  <si>
    <t>Environ. Microbiol.</t>
  </si>
  <si>
    <t>10.1111/j.1462-2920.2006.01007.x</t>
  </si>
  <si>
    <t>048NU</t>
  </si>
  <si>
    <t>WOS:000237954600005</t>
  </si>
  <si>
    <t>De Jonckheere, JF</t>
  </si>
  <si>
    <t>De Jonckheere, Johan F.</t>
  </si>
  <si>
    <t>Isolation and molecular identification of free-living amoebae of the genus Naegleria from Arctic and sub-Antarctic regions</t>
  </si>
  <si>
    <t>EUROPEAN JOURNAL OF PROTISTOLOGY</t>
  </si>
  <si>
    <t>5.8S rDNA; Arctic species; ITS; Naegleria; new species; sub-Antarctic species</t>
  </si>
  <si>
    <t>Twenty-three freshwater samples with sediment taken from two regions in the Arctic, Spitzbergen and Greenland, and one region in sub-Antarctica, Ile de la Possession, were cultured for amoebae at 37 degrees C and room temperature (RT). Only two samples yielded amoebae at 37 degrees C and the two isolates were identified from their morphological features to belong to the genus Acanthamoeba. Vahlkampfiid amoebae were isolated from 11 samples at RT. Morphological analysis of the cysts identified all 11 isolates as belonging to the genus Naegleria, although only about half of them (45%) transformed into flagellates. Ribosomal DNA sequence analysis demonstrated that these isolates represent novel species and that N. antarctica, N. dobsoni and N. chilensis are their closest relatives. Not surprisingly, these three species also grow at lower temperatures (&lt; 37 degrees C) than the majority of described Naegleria spp. Two of the eight new species were found in both Arctic and sub-Antarctic regions, and other new species from the Arctic are closely related to new species from the sub-Antarctic. Therefore, it seems the Naegleria gene pool present in the polar regions is different from that found in temperate and tropical regions. (c) 2006 Elsevier GmbH. All rights reserved.</t>
  </si>
  <si>
    <t>Sci Inst Publ Hlth, B-1050 Brussels, Belgium</t>
  </si>
  <si>
    <t>De Jonckheere, JF (corresponding author), Christian de Duve Inst Cellular Pathol, Trop Dis Res Unit, Ave Hippocrate,74-75, B-1200 Brussels, Belgium.</t>
  </si>
  <si>
    <t>jdjonckh@ben.vub.ac.be</t>
  </si>
  <si>
    <t>ELSEVIER GMBH</t>
  </si>
  <si>
    <t>MUNICH</t>
  </si>
  <si>
    <t>HACKERBRUCKE 6, 80335 MUNICH, GERMANY</t>
  </si>
  <si>
    <t>0932-4739</t>
  </si>
  <si>
    <t>1618-0429</t>
  </si>
  <si>
    <t>EUR J PROTISTOL</t>
  </si>
  <si>
    <t>Eur. J. Protistol.</t>
  </si>
  <si>
    <t>10.1016/j.ejop.2006.02.001</t>
  </si>
  <si>
    <t>068ML</t>
  </si>
  <si>
    <t>WOS:000239378300005</t>
  </si>
  <si>
    <t>Lal, D; Charles, C; Vacher, L; Goswami, JN; Jull, AJT; McHargue, L; Finkel, RC</t>
  </si>
  <si>
    <t>Lal, D.; Charles, C.; Vacher, L.; Goswami, J. N.; Jull, A. J. T.; McHargue, L.; Finkel, R. C.</t>
  </si>
  <si>
    <t>Paleo-ocean chemistry records in marine opal:: Implications for fluxes of trace elements, cosmogenic nuclides (10Be and 26Al), and biological productivity</t>
  </si>
  <si>
    <t>VOSTOK ICE-CORE; SOUTHERN-OCEAN; PACIFIC SECTOR; DEEP-SEA; IRON; BERYLLIUM; CO2; DEPOSITION; RATIO</t>
  </si>
  <si>
    <t>Here, we provide evidence suggesting that marine (diatom) opal contains not only a high fidelity record of dissolved oceanic concentrations of cosmic ray-produced radionuclides, Be-10 and Al-26, but also a record of temporal variations in a large number of trace elements such as Ti, Fe, Zn and Mn. This finding is derived from measurements in purified biogenic opal that can be separated from detrital materials using a newly developed technique based on surface charge characteristics. Initial results from a sediment core taken near the present-day position of the Antarctic Polar Front (ODP Site 1093) show dramatic changes in the intrinsic concentrations of, Be, Al, Ti, Fe, Mn and Zn in the opal assemblages during the past similar to 140 kyr BP. The results imply appreciable climatically controlled fluctuations in the level of bioreactive trace elements. The time series of total Be. Al, Ti, Fe and 10Be in the sediment core are all well correlated with each other and with dust records in the polar ice cores. The observations suggest that a significant flux of these trace metals to oceans is contributed by the aeolian dust, in this case, presumably from the Patagonia. This observation also allows determination of fluxes of dust-contributed Be-10 to the Antarctica ice sheets. However. our data show that the relationships among the various metals are not perfectly linear. During periods of higher dissolved concentrations of trace elements (indicated by Fe and Ti) the relative concentrations of bioreactive elements, Be, Al, Mn and Zn are decreased. By contrast. the Fe/Zn and Fe/Mn ratios decrease significantly during each transition from cold to warm periods. The relative behavior could be consistent with any of the following processes: (i) enhanced biological productivity due to greater supply of the bioreactive elements (e.g. Zn) during cold periods (ii) increased biological and inorganic scavenging of particle active elements (e.g. Be and Al) during early interglacial periods (iii) differential uptake/removal of the metals by the various diatom taxa whose relative productivity or growth rate changes with large scale climate. In any case. with one sedimentary phase and in single sedimentary sections, we now have the potential to compare directly a proxy for aeolian input of micronutrients (e.g. Fe or Ti), with a proxy for production (e.g. Al-26/Al ratios). We expect that studies of the temporal records of trace elements and cosmogenic nuclides in contrasting regions of upwelling and productivity, which exhibit different sensitivities to global climate fluctuations and micronutrient inputs, would lead to a direct and comprehensive test of ideas such as the hypothesis of iron control of atmospheric carbon dioxide [Martin, J.H., 1990. Glacial-interglacial CO2 change: the iron hypothesis. Paleoceanography 5, 1-13]. Our present data from a single site do not show that increases in dissolved Fe concentrations, per se, were responsible for increased biological productivity. However, a much clearer picture of the effect of increased dust fluxes should emerge when we have data for trace elements and the cosmogenic nuclides, 10Be and 26 Al from various oceanic provinces. (c) 2006 Elsevier Inc. All rights reserved.</t>
  </si>
  <si>
    <t>Scripps Inst Oceanog, Geosci Res Div, La Jolla, CA 92093 USA; Phys Res Lab, Ahmadabad 380009, Gujarat, India; Univ Arizona, NSF Arizona, AMS Lab, Tucson, AZ 85721 USA; Lawrence Livermore Natl Lab, Livermore, CA 94550 USA</t>
  </si>
  <si>
    <t>University of California System; University of California San Diego; Scripps Institution of Oceanography; Department of Space (DoS), Government of India; Physical Research Laboratory - India; University of Arizona; National Science Foundation (NSF); United States Department of Energy (DOE); Lawrence Livermore National Laboratory</t>
  </si>
  <si>
    <t>Lal, D (corresponding author), Scripps Inst Oceanog, Geosci Res Div, La Jolla, CA 92093 USA.</t>
  </si>
  <si>
    <t>dlal@ucsd.edu</t>
  </si>
  <si>
    <t>JUL 1</t>
  </si>
  <si>
    <t>10.1016/j.gca.2006.04.004</t>
  </si>
  <si>
    <t>062SS</t>
  </si>
  <si>
    <t>WOS:000238965400005</t>
  </si>
  <si>
    <t>Rocchi, S; LeMasurier, WE; Di Vincenzo, G</t>
  </si>
  <si>
    <t>Rocchi, Sergio; LeMasurier, Wesley E.; Di Vincenzo, Gianfranco</t>
  </si>
  <si>
    <t>Oligocene to Holocene erosion and glacial history in Marie Byrd Land, West Antarctica, inferred from exhumation of the Dorrel Rock intrusive complex and from volcano morphologies</t>
  </si>
  <si>
    <t>GEOLOGICAL SOCIETY OF AMERICA BULLETIN</t>
  </si>
  <si>
    <t>erosion anomalies; erosion rate; glacial erosion; volcanic morphology; West Antarctic Ice Sheet</t>
  </si>
  <si>
    <t>VICTORIA LAND; ICE-SHEET; ROSS SEA; DRY VALLEYS; EVOLUTION; RIFT; GEOCHRONOLOGY; EOCENE; REGION; MARGIN</t>
  </si>
  <si>
    <t>The Dorrel Rock intrusive complex in Marie Byrd Land, West Antarctica, consists of a coarse-grained gabbro, cut by fine-grained benmoreite and trachyte dikes, all exposed in a single nunatak. It is the only exposed plutonic body related to late Cenozoic volcanism in this part of the West Antarctic rift system. Our 40Ar-39Ar age determinations indicate emplacement of the gabbro took place ca. 34 Ma, followed by dike injection at ca. 33.5 Ma. Marie Byrd Land volcanoes are all younger than ca. 27-29 Ma, and lie on a low-relief Late Cretaceous erosion surface that has been disrupted by block faulting and dome uplift since late Oligocene time. The erosion surface and overlying volcanoes are well preserved, but in contrast, we estimate that at least 3 km of overburden has been eroded away to expose the gabbro. This anomaly is most easily explained if most of the exhumation took place during a period of rapid erosion between ca. 34 Ma and 27-29 Ma and was followed by a pronounced decrease in erosion rate in the late Oligocene. Temporal anomalies in the degree of dissection of volcanic edifices, together with evidence from hydrovolcanic deposits, suggest there was an ice cap in Marie Byrd Land in the late Oligocene and that inland (200+ km) volcanoes were being actively eroded by glaciers until ca. 15 Ma. This is consistent with seismic and stratigraphic work in the Ross Sea, which documents at least two expansions of the West Antarctic Ice Sheet in the early mid-Miocene. We find that rates of glacial erosion in Marie Byrd Land increase significantly with nearness to the coast, and in nonresistant rock. Thus, the observation that inland volcanoes younger than ca. 15 Ma show no effects of glacial erosion, except for one with a basal section of weak tuffs, suggests that a transition from warm-based to cold-based glaciers took place around 15 Ma. These findings are similar to many of those reported from well-studied McMurdo Sound and Ross Sea localities, so they provide a wider regional picture of middle to late Cenozoic climatic and surficial geologic events in Antarctica.</t>
  </si>
  <si>
    <t>Univ Pisa, Dipartimento Sci Terra, I-56126 Pisa, Italy; Univ Colorado, Inst Arctic &amp; Alpine Res, INSTAAR, Boulder, CO 80309 USA; CNR, IGG, I-56124 Pisa, Italy</t>
  </si>
  <si>
    <t>University of Pisa; University of Colorado System; University of Colorado Boulder; Consiglio Nazionale delle Ricerche (CNR); Istituto di Geoscienze e Georisorse (IGG-CNR)</t>
  </si>
  <si>
    <t>Rocchi, S (corresponding author), Univ Pisa, Dipartimento Sci Terra, Via S Maria 53, I-56126 Pisa, Italy.</t>
  </si>
  <si>
    <t>rocchi@dst.unipi.it</t>
  </si>
  <si>
    <t>; Rocchi, Sergio/A-7752-2018</t>
  </si>
  <si>
    <t>DI VINCENZO, GIANFRANCO/0000-0002-9669-9789; Rocchi, Sergio/0000-0001-6868-1939</t>
  </si>
  <si>
    <t>0016-7606</t>
  </si>
  <si>
    <t>1943-2674</t>
  </si>
  <si>
    <t>GEOL SOC AM BULL</t>
  </si>
  <si>
    <t>Geol. Soc. Am. Bull.</t>
  </si>
  <si>
    <t>7-8</t>
  </si>
  <si>
    <t>10.1130/B25675.1</t>
  </si>
  <si>
    <t>058XO</t>
  </si>
  <si>
    <t>WOS:000238698100013</t>
  </si>
  <si>
    <t>Lewis, AR; Marchant, DR; Kowalewski, DE; Baldwin, SL; Webb, LE</t>
  </si>
  <si>
    <t>Lewis, Adam R.; Marchant, David R.; Kowalewski, Douglas E.; Baldwin, Suzanne L.; Webb, Laura E.</t>
  </si>
  <si>
    <t>The age and origin of the Labyrinth, western Dry Valleys, Antarctica: Evidence for extensive middle Miocene subglacial floods and freshwater discharge to the Southern Ocean</t>
  </si>
  <si>
    <t>Antarctica; Miocene; labyrinth; subglacial floods; climate</t>
  </si>
  <si>
    <t>GLACIAL LAKE AGASSIZ; ICE-SHEET; TRANSANTARCTIC MOUNTAINS; WRIGHT VALLEY; MELTWATER; BENEATH; HISTORY; BEDROCK; RECORD; BAY</t>
  </si>
  <si>
    <t>A 50+-km-long network of bedrock channels and scoured terrain occupies the ice-free portion of a major trough that crosses the Transantarctic Mountains in southern Victoria Land. The channels, collectively termed the Labyrinth, emerge from beneath the margin of the East Antarctic Ice Sheet (Wright Upper Glacier) and are incised into a 300-m-thick sill of Ferrar Dolerite at the head of Wright Valley. Upper- and intermediate-elevation erosion surfaces of the Labyrinth exhibit striations and molding characteristic of glacial erosion. Channels and canyons on the lower surface are as much as 600 m wide and 250 m deep, have longitudinal profiles with many reverse gradients, and contain potholes &gt; 35 m deep at tributary junctions. These characteristics are most consistent with incision from fast-flowing subglacial meltwater; estimated discharge is on the order of 1.6-2.2 X 106 m(3)s(-1). Our 40Ar/39Ar analyses of volcanic tephra from the Labyrinth show that the channels are relict, that major channel incision predates 12.4 Ma, and that the last major subglacial flood occurred sometime between 14.4 Ma and 12.4 Ma. The most plausible origin for the Labyrinth is erosion associated with episodic drainage of subglacial lakes in East Antarctica. One compelling possibility is that discharge of large volumes of subglacial meltwater to the Southern Ocean, and to the Ross Sea in particular, may have coincided with, and contributed to, oscillations in regional and/or global climate during the middle Miocene.</t>
  </si>
  <si>
    <t>Boston Univ, Dept Earth Sci, Boston, MA 02215 USA; Syracuse Univ, Dept Earth Sci, Syracuse, NY 13244 USA</t>
  </si>
  <si>
    <t>Boston University; Syracuse University</t>
  </si>
  <si>
    <t>Lewis, AR (corresponding author), Boston Univ, Dept Earth Sci, Boston, MA 02215 USA.</t>
  </si>
  <si>
    <t>; Webb, Laura/F-8226-2011</t>
  </si>
  <si>
    <t>Kowalewski, Douglas/0000-0002-7847-026X; Webb, Laura/0000-0002-0597-5793</t>
  </si>
  <si>
    <t>10.1130/G22145.1</t>
  </si>
  <si>
    <t>058XM</t>
  </si>
  <si>
    <t>WOS:000238697900001</t>
  </si>
  <si>
    <t>Latimer, JC; Filippelli, GM; Hendy, IL; Gleason, JD; Blum, JD</t>
  </si>
  <si>
    <t>Latimer, Jennifer C.; Filippelli, Gabriel M.; Hendy, Ingrid L.; Gleason, James D.; Blum, Joel D.</t>
  </si>
  <si>
    <t>Glacial-interglacial terrigenous provenance in the southeastern Atlantic Ocean: The importance of deep-water sources and surface currents</t>
  </si>
  <si>
    <t>Southern Ocean; provenance; terrigenous materials; glacial; interglacial</t>
  </si>
  <si>
    <t>SOUTH ATLANTIC; BIOGENIC SEDIMENT; EXPORT PRODUCTION; ICE CORES; SEA-ICE; DOME C; VOSTOK; DUST; PALEOPRODUCTIVITY; RECONSTRUCTION</t>
  </si>
  <si>
    <t>Identifying terrigenous sources in deep-sea sediments may reveal temporal trends in paleocirculation and the relative role of eolian, upwelled, and hemipelagic Fe sources to surface waters. Bulk elemental and isotopic geochemistry of deep-sea sediments recovered during Ocean Drilling Program Leg 177 in the southeastern Atlantic sector of the Southern Ocean reveal several important aspects of paleocirculation and terrigenous provenance. The sites studied span 43 degrees-53 degrees S and represent different oceanographic settings relative to regional hydrography and sediment type. Bulk sediment geochemistry indicates that terrigenous provenance varied over the past 600 k.y. Site 1089, the northernmost site, exhibits clear glacial-interglacial variability in provenance, while provenance appears to vary regardless of climate state at the more southerly sites (Site 1093 and 1094). Nd and Sr isotopes and Sm/Nd ratios of the terrigenous fraction indicate that study sites have geochemically distinguishable provenance. Nd and Sr isotopes further suggest that Sites 1089 and 1094 both contain detrital components that originated in South America over the past 30 k.y.; however, Site 1089 is also influenced by southern African sources and the strength of the Agulhas Current. The epsilon(Nd) data support a more hemipelagic source for the terrigenous material rather than an eolian source based on comparisons with Antarctic ice core data and known sea-ice extent.</t>
  </si>
  <si>
    <t>Univ Michigan, Dept Geol Sci, Ann Arbor, MI 48109 USA; Indiana Univ Purdue Univ, Dept Geol, Indianapolis, IN 46202 USA</t>
  </si>
  <si>
    <t>University of Michigan System; University of Michigan; Indiana University System; Indiana University-Purdue University Indianapolis</t>
  </si>
  <si>
    <t>Latimer, JC (corresponding author), Indiana State Univ, Dept Geog Geol &amp; Anthropol, Terre Haute, IN 47809 USA.</t>
  </si>
  <si>
    <t>, Ingrid/AAT-1279-2021; Filippelli, Gabriel/R-6009-2019</t>
  </si>
  <si>
    <t>Filippelli, Gabriel/0000-0003-3434-5982; hendy, Ingrid/0000-0001-8305-6752</t>
  </si>
  <si>
    <t>10.1130/G22252.1</t>
  </si>
  <si>
    <t>WOS:000238697900009</t>
  </si>
  <si>
    <t>Trofimovs, J; Amy, L; Boudon, G; Deplus, C; Doyle, E; Fournier, N; Hart, MB; Komorowski, JC; Le Friant, A; Lock, EJ; Pudsey, C; Ryan, G; Sparks, RSJ; Talling, PJ</t>
  </si>
  <si>
    <t>Trofimovs, J.; Amy, L.; Boudon, G.; Deplus, C.; Doyle, E.; Fournier, N.; Hart, M. B.; Komorowski, J. C.; Le Friant, A.; Lock, E. J.; Pudsey, C.; Ryan, G.; Sparks, R. S. J.; Talling, P. J.</t>
  </si>
  <si>
    <t>Submarine pyroclastic deposits formed at the Soufriere Hills volcano, Montserrat (1995-2003): What happens when pyroclastic flows enter the ocean?</t>
  </si>
  <si>
    <t>Montserrat; Soufriere Hills volcano; dome collapse; submarine pyroclastic flow</t>
  </si>
  <si>
    <t>BEHAVIOR; SEA</t>
  </si>
  <si>
    <t>The Soufriere Hills volcano, Montserrat, West Indies, has undergone a series of dome growth and collapse events since the eruption began in 1995. Over 90% of the pyroclastic material produced has been deposited into the ocean. Sampling of these submarine deposits reveals that the pyroclastic flows mix rapidly and violently with the water as they enter the sea. The coarse components (pebbles to boulders) are deposited proximally from dense basal slurries to form steep-sided, near-linear ridges that intercalate to form a submarine fan. The finer ash-grade components are mixed into the overlying water column to form turbidity currents that flow over distances &gt; 30 km from the source. The total volume of pyroclastic material off the east coast of Montserrat exceeds 280 X 106 m(3), with 65% deposited in proximal lobes and 35% deposited as distal turbidites.</t>
  </si>
  <si>
    <t>Univ Bristol, Dept Earth Sci, Bristol BS8 1RJ, Avon, England; CNRS, F-75252 Paris 05, France; Inst Phys Globe, F-75252 Paris 05, France; Univ W Indies, Seism Res Unit, St Augustine, Trinidad Tobago; Univ Plymouth, Sch Earth Ocean &amp; Environm Sci, Plymouth PL4 8AA, Devon, England; British Antarctic Survey, NERC, Cambridge CB3 0ET, England; British Geol Survey, Nat Environm Res Council, Kingsley Dunham Ctr, Nottingham NG12 5GG, England</t>
  </si>
  <si>
    <t>University of Bristol; Centre National de la Recherche Scientifique (CNRS); Universite Paris Cite; University West Indies Mona Jamaica; University West Indies Saint Augustine; University of Plymouth; UK Research &amp; Innovation (UKRI); Natural Environment Research Council (NERC); NERC British Antarctic Survey; UK Research &amp; Innovation (UKRI); Natural Environment Research Council (NERC); NERC British Geological Survey</t>
  </si>
  <si>
    <t>Trofimovs, J (corresponding author), Univ Bristol, Dept Earth Sci, Wills Mem Bldg,Queens Rd, Bristol BS8 1RJ, Avon, England.</t>
  </si>
  <si>
    <t>lgm, ipgp/F-8783-2010; DEPLUS, Christine/A-6798-2011; Komorowski, Jean-Christophe/H-9613-2017; Doyle, Emma/C-6451-2009; Komorowski, Jean-Christophe/W-2158-2019; Le Friant, Anne/J-4984-2017; Hudson-Doyle, Emma/ABB-3142-2020; Trofimovs, Jessica/J-1369-2012; BOUDON, Georges/E-7177-2017</t>
  </si>
  <si>
    <t>DEPLUS, Christine/0000-0003-3689-3704; Komorowski, Jean-Christophe/0000-0002-6874-786X; Komorowski, Jean-Christophe/0000-0002-6874-786X; Trofimovs, Jessica/0000-0001-8599-4961; Doyle, Emma/0000-0002-2878-0972; Talling, Peter/0000-0001-5234-0398; Fournier, Nico/0000-0003-2005-9643</t>
  </si>
  <si>
    <t>Natural Environment Research Council [NER/A/S/2002/00963] Funding Source: researchfish</t>
  </si>
  <si>
    <t>Natural Environment Research Council(UK Research &amp; Innovation (UKRI)Natural Environment Research Council (NERC))</t>
  </si>
  <si>
    <t>10.1130/G22424.1</t>
  </si>
  <si>
    <t>WOS:000238697900010</t>
  </si>
  <si>
    <t>Gibson, JAE; Zale, R</t>
  </si>
  <si>
    <t>Gibson, John A. E.; Zale, Rolf</t>
  </si>
  <si>
    <t>Holocene development of the fauna of Lake Boeckella, northern Antarctic Peninsula</t>
  </si>
  <si>
    <t>HOLOCENE</t>
  </si>
  <si>
    <t>Antarctica; Lake Boeckella; fauna; copepods; colonization; vicariance; dispersal; Boeckella poppei; climate change; Holocene</t>
  </si>
  <si>
    <t>HOPE BAY; SIGNY ISLAND; ICE SHELF; SEDIMENTS; ECOLOGY; ACARI; LAND; PHYTOPLANKTON; BIOGEOGRAPHY; COMMUNITIES</t>
  </si>
  <si>
    <t>The origins of the freshwater fauna that inhabits Antarctic lakes are poorly known. The species present today could be relict species that have survived Quaternary glaciations on the continent, or Holocene migrants from more temperate regions. One approach to investigating these questions is to study faunal microfossils in lake sediment. This approach was applied to a 293 cm sediment core from Lake Boeckella, located at the northern tip of the Antarctic Peninsula. The microfossils indicated that most of the metazoan species that occur in the lake today have been present since soon after the lake's formation c. 5.5 ka ago. In particular, the centropagid copepod Boeckella poppei (Mrazek) has been present throughout the lake's history, suggesting a local source for this species. The development of biodiversity in the lake with time was in general more consistent with local (Antarctic) rather than distant (South American) sources, though an alternative explanation is that dispersal to Antarctica was more efficient in the mid-Holocene. Evidence of dispersal from extra-continental sites comes from the scattered occurrence throughout the core of Eubosmina chilensis (Daday), a South American species that does not reach the Antarctic or the sub-Antarctic islands at present, and which failed to establish a permanent population in the lake.</t>
  </si>
  <si>
    <t>Univ Tasmania, Inst Antarctic &amp; So Ocean Studies, Hobart, Tas 7001, Australia; Univ Tasmania, Sect Zool, Hobart, Tas 7001, Australia; Umea Univ, Dept Ecol &amp; Environm Sci, SE-90187 Umea, Sweden</t>
  </si>
  <si>
    <t>University of Tasmania; University of Tasmania; Umea University</t>
  </si>
  <si>
    <t>Gibson, JAE (corresponding author), Univ Tasmania, Inst Antarctic &amp; So Ocean Studies, Private Bag 77, Hobart, Tas 7001, Australia.</t>
  </si>
  <si>
    <t>John.Gibson@utas.edu.au</t>
  </si>
  <si>
    <t>SAGE PUBLICATIONS LTD</t>
  </si>
  <si>
    <t>1 OLIVERS YARD, 55 CITY ROAD, LONDON EC1Y 1SP, ENGLAND</t>
  </si>
  <si>
    <t>0959-6836</t>
  </si>
  <si>
    <t>1477-0911</t>
  </si>
  <si>
    <t>Holocene</t>
  </si>
  <si>
    <t>10.1191/0959683606hl959rp</t>
  </si>
  <si>
    <t>Geography, Physical; Geosciences, Multidisciplinary</t>
  </si>
  <si>
    <t>Physical Geography; Geology</t>
  </si>
  <si>
    <t>072WD</t>
  </si>
  <si>
    <t>Green Accepted, Green Submitted</t>
  </si>
  <si>
    <t>WOS:000239702800001</t>
  </si>
  <si>
    <t>Lynch, A; Uotila, P; Cassano, JJ</t>
  </si>
  <si>
    <t>Lynch, Amanda; Uotila, Petteri; Cassano, John J.</t>
  </si>
  <si>
    <t>Changes in synoptic weather patterns in the polar regions in the twentieth and twenty-first centuries, part 2: Antarctic</t>
  </si>
  <si>
    <t>INTERNATIONAL JOURNAL OF CLIMATOLOGY</t>
  </si>
  <si>
    <t>Antarctic; synoptic climatology; climate change; global climate model; self-organizing maps</t>
  </si>
  <si>
    <t>SOUTHERN-HEMISPHERE; CLIMATE-CHANGE; STORM TRACKS; CYCLONE; VARIABILITY; TELECONNECTIONS; PRECIPITATION; CIRCULATION; BEHAVIOR; OCEAN</t>
  </si>
  <si>
    <t>An analysis of the late twentieth century and the twenty-first century predictions of Antarctic circulation patterns in a ten model ensemble of global climate system models, using the method of self-organizing maps (SOMs), is presented. The model simulations, and this analysis, were conducted in support of the Intergovernmental Panel on Climate Change (IPCC) fourth assessment report. An application of the methodology to twentieth century reanalyses resulted in conclusions congruent with earlier synoptic climatologies that used different techniques. It was found that the SOM method is a useful tool for diagnosing differences among a large cohort of often quite divergent simulations, allowing the rapid identification of outliers. Some models do rather poorly at simulating the present day Antarctic circulation, but taking these outliers into account and considering the models as an ensemble, the simulations of twentieth century circulation are reasonable. The most notable outlier was the Centre National de Recherches Meteorologiques model (also known as ARPEGE), which was unable to simulate Southern Ocean cyclones. Also of interest was the excessive cyclogenesis displayed by the National Center for Atmospheric Research CCSM3 model. The trend towards increasing cyclonicity and stronger zonal winds is quite consistent among models, and is also reflected in an increase in positive Antarctic oscillation (AAO) index. The coherence of temperature and precipitation anomaly patterns and their trends reflects the extent to which these are related to circulation. It is clear from this analysis that several of the models in this ensemble are capable of predicting the Antarctic Peninsula warming as the rest of the continent cools - this is an important advance in our simulation capacity. Copyright (C) 2006 Royal Meteorological Society.</t>
  </si>
  <si>
    <t>Univ Colorado, Cooperat Inst Res Environm Sci, Boulder, CO 80309 USA; Univ Colorado, Dept Atmospher &amp; Ocean Sci, Boulder, CO 80309 USA; Monash Univ, Sch Geog &amp; Environm Sci, Monash, Australia</t>
  </si>
  <si>
    <t>University of Colorado System; University of Colorado Boulder; University of Colorado System; University of Colorado Boulder; Monash University</t>
  </si>
  <si>
    <t>Cassano, JJ (corresponding author), Univ Colorado, Cooperat Inst Res Environm Sci, 216 UCB, Boulder, CO 80309 USA.</t>
  </si>
  <si>
    <t>cassano@cires.colorado.edu</t>
  </si>
  <si>
    <t>Cassano, John/HKW-8817-2023; Lynch, Amanda/B-4278-2011; Uotila, Petteri/A-1703-2012</t>
  </si>
  <si>
    <t>Lynch, Amanda/0000-0003-2990-1016; Uotila, Petteri/0000-0002-2939-7561</t>
  </si>
  <si>
    <t>0899-8418</t>
  </si>
  <si>
    <t>1097-0088</t>
  </si>
  <si>
    <t>INT J CLIMATOL</t>
  </si>
  <si>
    <t>Int. J. Climatol.</t>
  </si>
  <si>
    <t>10.1002/joc.1305</t>
  </si>
  <si>
    <t>063OQ</t>
  </si>
  <si>
    <t>WOS:000239029600004</t>
  </si>
  <si>
    <t>Kravchenko, I; Cooley, C; Seckel, D; Adams, J; Churchwell, S; Harris, P; Seunarine, S; Wahrlich, P; Bean, A; Besson, D; Graham, S; Holt, S; Hussain, S; Marfatia, D; Mckay, D; Meyers, J; Ralston, J; Schiel, R; Swift, H; Ledford, J; Ratzlaff, K</t>
  </si>
  <si>
    <t>Kravchenko, I.; Cooley, C.; Seckel, D.; Adams, J.; Churchwell, S.; Harris, P.; Seunarine, S.; Wahrlich, P.; Bean, A.; Besson, D.; Graham, S.; Holt, S.; Hussain, S.; Marfatia, D.; Mckay, D.; Meyers, J.; Ralston, J.; Schiel, R.; Swift, H.; Ledford, J.; Ratzlaff, K.</t>
  </si>
  <si>
    <t>Updated limits on the Ultra-High Energy (UHE) neutrino flux from the rice experiment</t>
  </si>
  <si>
    <t>INTERNATIONAL JOURNAL OF MODERN PHYSICS A</t>
  </si>
  <si>
    <t>International Workshop on Acoustic and Radio EeV Neutrino Detectioon Activities</t>
  </si>
  <si>
    <t>MAY 17-19, 2005</t>
  </si>
  <si>
    <t>Zeuthen, GERMANY</t>
  </si>
  <si>
    <t>COSMIC-RAYS</t>
  </si>
  <si>
    <t>The RICE experiment (Radio Ice Cherenkov Experiment) at South Pole consists of an array of dipole antennas designed to detect the coherent radio frequency radiation produced by neutrino-induced showers in the Antarctic ice. We report updated limits on the ultra-high energy neutrino flux, based on RICE data taken between 2000 and 2004. These limits also reflect improvements in Monte Carlo simulations and detector modeling.</t>
  </si>
  <si>
    <t>MIT, Nucl Sci Lab, Cambridge, MA 02139 USA; Whitman Coll, Dept Phys, Walla Walla, WA 99362 USA; Univ Delaware, Bartol Res Inst, Newark, DE 19716 USA; Univ Canterbury, Dept Phys &amp; Astron, Christchurch 1, New Zealand; Univ Kansas, Dept Phys &amp; Astron, Lawrence, KS 66045 USA; Univ Kansas, Instrumentat Design Lab, Lawrence, KS 66045 USA</t>
  </si>
  <si>
    <t>Massachusetts Institute of Technology (MIT); Whitman College; University of Delaware; University of Canterbury; University of Kansas; University of Kansas</t>
  </si>
  <si>
    <t>Kravchenko, I (corresponding author), MIT, Nucl Sci Lab, 77 Massachusetts Ave, Cambridge, MA 02139 USA.</t>
  </si>
  <si>
    <t>Ratzlaff, Kenneth/G-6221-2017</t>
  </si>
  <si>
    <t>WORLD SCIENTIFIC PUBL CO PTE LTD</t>
  </si>
  <si>
    <t>SINGAPORE</t>
  </si>
  <si>
    <t>5 TOH TUCK LINK, SINGAPORE 596224, SINGAPORE</t>
  </si>
  <si>
    <t>0217-751X</t>
  </si>
  <si>
    <t>INT J MOD PHYS A</t>
  </si>
  <si>
    <t>Int. J. Mod. Phys. A</t>
  </si>
  <si>
    <t>Physics, Nuclear; Physics, Particles &amp; Fields</t>
  </si>
  <si>
    <t>Physics</t>
  </si>
  <si>
    <t>076WG</t>
  </si>
  <si>
    <t>WOS:000239988200029</t>
  </si>
  <si>
    <t>Gorham, PW</t>
  </si>
  <si>
    <t>Gorham, Peter W.</t>
  </si>
  <si>
    <t>ANITA Collaboration</t>
  </si>
  <si>
    <t>The ANITA cosmogenic neutrino experiment</t>
  </si>
  <si>
    <t>International Workshop on Acoustic and Radio EeV Neutrino Detection Activities</t>
  </si>
  <si>
    <t>SHOWERS; EMISSION; PULSES; CHARGE; RAYS; AIR</t>
  </si>
  <si>
    <t>We report on new limits on cosmic neutrino fluxes from the flight of the Antarctic Impulsive Transient Antenna (ANITA) prototype, dubbed ANITA-lite, which completed an 18.4 day flight of a long-duration balloon (LDB) payload in early 2004.</t>
  </si>
  <si>
    <t>Univ Hawaii Manoa, Dept Phys &amp; Astron, Honolulu, HI 96822 USA</t>
  </si>
  <si>
    <t>University of Hawaii System; University of Hawaii Manoa</t>
  </si>
  <si>
    <t>Gorham, PW (corresponding author), Univ Hawaii Manoa, Dept Phys &amp; Astron, 2505 Correa Rd, Honolulu, HI 96822 USA.</t>
  </si>
  <si>
    <t>gorham@phys.hawaii.edu</t>
  </si>
  <si>
    <t>Gorham, Peter/0000-0002-0923-9363</t>
  </si>
  <si>
    <t>1793-656X</t>
  </si>
  <si>
    <t>10.1142/S0217751X06033556</t>
  </si>
  <si>
    <t>WOS:000239988200030</t>
  </si>
  <si>
    <t>Böser, S</t>
  </si>
  <si>
    <t>Boeser, Sebastian</t>
  </si>
  <si>
    <t>SPATS Grp</t>
  </si>
  <si>
    <t>SPATS -: A South Pole Acoustic Test Setup</t>
  </si>
  <si>
    <t>Due to its large Greeneisen coefficient ice is of special interest for the acoustic detection of ultra-high energetic neutrino-induced cascades. The abundant homogeneous volume and an existing neutrino observatory make the south polar ice cap a favourable location for this purpose. Theoretical calculations yield absorption lengths of similar to 10 km, but no measurements at all are available in the frequency range of interest. We present an experimental setup to measure the key parameters of the antarctic glacial ice.</t>
  </si>
  <si>
    <t>DESY, Zeuthen, Germany</t>
  </si>
  <si>
    <t>Helmholtz Association; Deutsches Elektronen-Synchrotron (DESY)</t>
  </si>
  <si>
    <t>Böser, S (corresponding author), DESY, Zeuthen, Germany.</t>
  </si>
  <si>
    <t>sboeser@ifh.de</t>
  </si>
  <si>
    <t>Hundertmark, Stephan/A-6592-2010</t>
  </si>
  <si>
    <t>10.1142/S0217751X06033660</t>
  </si>
  <si>
    <t>WOS:000239988200041</t>
  </si>
  <si>
    <t>Kim, BY; Weon, HY; Cousin, S; Yoo, SH; Kwon, SW; Go, SJ; Stackebrandt, E</t>
  </si>
  <si>
    <t>Kim, Byung-Yong; Weon, Hang-Yeon; Cousin, Sylvie; Yoo, Seung-Hee; Kwon, Soon-Wo; Go, Seung-Joo; Stackebrandt, Erko</t>
  </si>
  <si>
    <t>Flavobacterium daejeonense sp nov and Flavobacterium suncheonense sp nov., isolated from greenhouse soils in Korea</t>
  </si>
  <si>
    <t>SPHINGOBACTERIUM-MIZUTAE; EMENDED DESCRIPTION; ANTARCTIC LAKES; MICROBIAL MATS; COMB NOV; GEN-NOV; BACTERIA; SPIRITIVORUM; PROPOSAL; FAMILY</t>
  </si>
  <si>
    <t>Two yellow-pigmented, Gram-negative, rod-shaped bacterial strains, GH1-10(T) and GH29-5(T), were isolated from greenhouse soils in Korea. 16S rRNA gene sequence analysis indicated that these strains were related to members of the genus Flavobacterium. Strain GH1-10(T) was most closely related to Flavobacterium psychrolimnae and Flavobacterium denitrificans, with sequence similarities of 95(.)9 and 95(.)2%, respectively. Strain GH29-5(T) was most closely related to 'Flavobacterium saliodium', F denitrificans and Flavobacterium frigoris, with sequence similarities of 94(.)3, 92(.)5 and 92(.)5%, respectively. The major cellular fatty acids of GH1-10(T) were iso-C-15:0, summed feature 3 (iso-C-15:0 2-OH and/or C-16:1 omega 7c and iso-C-17:0 3-OH, and those of GH29-5(T) were iso-C-15:0, iso-C-17:0 3-OH, iso-C-15:1 G and iso-C-15:0 3-OH. Both strains contained menaquinone with six isoprene units (MK-6) as the sole qui none. The DNA G + C contents of GH1-10T and GH29-5T were 35 and 39 mol%, respectively. Based on the phylogenetic and phenotypic data presented, it is concluded that the two bacteria represent two separate novel species of the genus Flavobacterium. The names proposed to accommodate these organisms are Flavobacterium daejeonense sp. nov., with type strain GH1-10(T) (=KACC 11422(T) = DSM 17708(T)), and Flavobacterium suncheonense sp. nov., with type strain GH29-5(T) (=KACC 11423(T) =DSM 17707(T)).</t>
  </si>
  <si>
    <t>RDA, KACC, Microbial Genet Div, Nalt Inst Agr Biotechnol, Suwon 441707, South Korea; RDA, Natl Inst Agr Sci &amp; Technol, Appl Microbiol Div, Suwon 441707, South Korea</t>
  </si>
  <si>
    <t>Rural Development Administration (RDA); Rural Development Administration (RDA)</t>
  </si>
  <si>
    <t>Kwon, SW (corresponding author), RDA, KACC, Microbial Genet Div, Nalt Inst Agr Biotechnol, Suwon 441707, South Korea.</t>
  </si>
  <si>
    <t>swkwon@rda.go.kr</t>
  </si>
  <si>
    <t>, BYUNGYONG KIM/JLL-7806-2023</t>
  </si>
  <si>
    <t>Kim, Byung-Yong/0000-0002-4229-8859; Stackebrandt, Erko/0000-0002-6130-760X; Weon, Hang-Yeon/0000-0002-9084-4316</t>
  </si>
  <si>
    <t>10.1099/ijs.0.64243-0</t>
  </si>
  <si>
    <t>068IF</t>
  </si>
  <si>
    <t>WOS:000239366200030</t>
  </si>
  <si>
    <t>Baumgaertner, AJG; Jarvis, MJ; McDonald, AJ; Fraser, GJ</t>
  </si>
  <si>
    <t>Baumgaertner, A. J. G.; Jarvis, M. J.; McDonald, A. J.; Fraser, G. J.</t>
  </si>
  <si>
    <t>Observations of the wavenumber 1 and 2 components of the semi-diurnal tide over Antarctica</t>
  </si>
  <si>
    <t>JOURNAL OF ATMOSPHERIC AND SOLAR-TERRESTRIAL PHYSICS</t>
  </si>
  <si>
    <t>mesosphere lower thermosphere dynamics; tides; nonmigrating; planetary waves; nonlinear interaction; solar proton events</t>
  </si>
  <si>
    <t>LOWER THERMOSPHERE; SEMIDIURNAL TIDE; 12-HOUR OSCILLATION; MEAN WINDS; SOUTH-POLE; WAVES; RADAR; MESOSPHERE; PLANETARY; HALLEY</t>
  </si>
  <si>
    <t>This paper combines four years of radar wind data from Halley and Scott Base in an attempt to resolve the zonal structure of the semi-diurnal tide over Antarctica and to determine the dominant component as a function of time. If only one odd and one even wavenumber component are present then it is possible to calculate the amplitudes and phases of those using data from two stations that are similar in latitude but separated in longitude, ideally by 180 degrees. Assuming that the main components of the semi-diurnal tide at Scott Base and Halley latitudes are wavenumber 1 and 2, as has been suggested by other studies, we are able to determine the seasonal variation of both components. The wavenumber 1 component is often dominant in summer, in winter a mixture of wavenumber 1 and 2 is observed. In addition the longitude at which the maxima of the components coincide was determined and found to vary relatively little. Amplitude variations and the longitudes of maxima coincidence were used to investigate the generation mechanisms of the wavenumber I wave. Interaction between planetary waves with wavenumber I and the wavenumber 2 semi-diurnal tide was found to be a potential mechanism for the generation of the wavenumber I component of the tide, confirming theories and observations discussed in the literature. For periods where this explanation for the generation of the wavenumber 1 tide fails we suggest asymmetric heating through solar particle flux as an additional source. (C) 2006 Elsevier Ltd. All rights reserved.</t>
  </si>
  <si>
    <t>Univ Canterbury, Dept Phys &amp; Astron, Christchurch 8020, New Zealand; British Antarctic Survey, Cambridge CB3 0ET, England</t>
  </si>
  <si>
    <t>University of Canterbury; UK Research &amp; Innovation (UKRI); Natural Environment Research Council (NERC); NERC British Antarctic Survey</t>
  </si>
  <si>
    <t>Baumgaertner, AJG (corresponding author), Univ Canterbury, Dept Phys &amp; Astron, Christchurch 8020, New Zealand.</t>
  </si>
  <si>
    <t>ajb192@student.canterbury.ac.nz</t>
  </si>
  <si>
    <t>Baumgaertner, Andreas/C-4830-2011</t>
  </si>
  <si>
    <t>Baumgaertner, Andreas/0000-0002-4740-0701; McDonald, Adrian/0000-0002-1456-6254</t>
  </si>
  <si>
    <t>NERC [bas010022] Funding Source: UKRI; Natural Environment Research Council [bas010022] Funding Source: researchfish</t>
  </si>
  <si>
    <t>1364-6826</t>
  </si>
  <si>
    <t>1879-1824</t>
  </si>
  <si>
    <t>J ATMOS SOL-TERR PHY</t>
  </si>
  <si>
    <t>J. Atmos. Sol.-Terr. Phys.</t>
  </si>
  <si>
    <t>10.1016/j.jastp.2006.03.001</t>
  </si>
  <si>
    <t>Geochemistry &amp; Geophysics; Meteorology &amp; Atmospheric Sciences</t>
  </si>
  <si>
    <t>067IN</t>
  </si>
  <si>
    <t>WOS:000239295300005</t>
  </si>
  <si>
    <t>Burg, TM; Croxall, JP</t>
  </si>
  <si>
    <t>Burg, Theresa M.; Croxall, John P.</t>
  </si>
  <si>
    <t>Extrapair paternities in black-browed Thalassarche melanophris, grey-headed T-chrysostoma and wandering albatrosses Diomedea exulans at South Georgia</t>
  </si>
  <si>
    <t>JOURNAL OF AVIAN BIOLOGY</t>
  </si>
  <si>
    <t>PAIR PATERNITY; POPULATION-DYNAMICS; MATE FIDELITY; BIRD-ISLAND; DNA; SURVIVAL; HETEROZYGOSITY; AVAILABILITY; PREDATORS; MONOGAMY</t>
  </si>
  <si>
    <t>Extrapair paternities (EPP) are relatively common in passerines, but rare in seabirds. Like most seabirds, albatrosses are long lived, form long-term pair bonds and require biparental care for chick-rearing. Microsatellite analyses of 327 chicks from black-browed Thalassarche melanophris, grey-headed T. chrysostoma and wandering albatrosses Diomedea exulans over two breeding seasons revealed the presence of EPP in all three species. Though EPP rates varied between species and years, up to 21% of offspring were the result of extrapair matings. Rates were highest in wandering albatrosses (6-21%) followed by grey-headed (3-10%) and black-browed (0-9%) albatrosses. EPP rates were lower in 1998 compared to 1999 in both black-browed and grey-headed albatrosses, whereas the reverse was true for wandering albatrosses. Interspecific differences in EPP rates may reflect differences in breeding phenology and sexual size dimorphism. Differences in timing and frequency of breeding may promote different opportunities for interactions with birds other than their normal partner. The different breeding habitat, dispersion and mate-attraction rituals in wandering albatross, together with the disparity in size between the sexes may also offer more scope for higher rates of EPP. Despite extensive sampling within each colony, we were unable to identify sires for many of the extrapair young; however males from other colonies were involved, raising interesting questions regarding the timing and nature of such events.</t>
  </si>
  <si>
    <t>NERC, British Antarctic Survey, Cambridge CB3 0ET, England; Univ Cambridge, Dept Zool, Cambridge CB2 3EJ, England</t>
  </si>
  <si>
    <t>UK Research &amp; Innovation (UKRI); Natural Environment Research Council (NERC); NERC British Antarctic Survey; University of Cambridge</t>
  </si>
  <si>
    <t>Burg, TM (corresponding author), Univ Lethbridge, Dept Biol Sci, 4401 Univ Dr, Lethbridge, AB T1K 3M4, Canada.</t>
  </si>
  <si>
    <t>theresaburg@yahoo.com</t>
  </si>
  <si>
    <t>0908-8857</t>
  </si>
  <si>
    <t>1600-048X</t>
  </si>
  <si>
    <t>J AVIAN BIOL</t>
  </si>
  <si>
    <t>J. Avian Biol.</t>
  </si>
  <si>
    <t>10.1111/j.2006.0908-8857.03634.x</t>
  </si>
  <si>
    <t>055YH</t>
  </si>
  <si>
    <t>WOS:000238486700007</t>
  </si>
  <si>
    <t>Cromer, L; Gibson, JAE; Swadling, KM; Hodgson, DA</t>
  </si>
  <si>
    <t>Evidence for a lacustrine faunal refuge in the Larsemann Hills, East Antarctica, during the Last Glacial Maximum</t>
  </si>
  <si>
    <t>JOURNAL OF BIOGEOGRAPHY</t>
  </si>
  <si>
    <t>Daphniopsis studeri; dispersal; environmental change; faunal refuge; freshwater zooplankton; interglacial; lake sediments; Notholca sp; tardigrade</t>
  </si>
  <si>
    <t>CONTINENTAL ANTARCTICA; ENVIRONMENTAL-CHANGE; VESTFOLD-HILLS; BUNGER HILLS; ICE-FREE; LAKE; HOLOCENE; DEGLACIATION; EMERGENCE; CLADOCERA</t>
  </si>
  <si>
    <t>Aim There is no previous direct evidence for the occurrence of lacustrine refuges for invertebrate fauna in Antarctica spanning the Last Glacial Maximum (LGM). In the absence of verified LGM lacustrine refuges many species are believed to result from Holocene dispersal from sub-Antarctic islands and continents further north. If freshwater lake environments were present throughout the LGM, extant freshwater species may have been associated with Antarctica prior to this glacial period. This study looked at faunal microfossils in a sediment core from an Antarctic freshwater lake. This lake is unusual in that, unlike most Antarctic lakes, the sediment record extends to c. 130,000 yr BP, i.e. prior to the LGM. Location Lake Reid, Larsemann Hills, East Antarctica (76 degrees 23' E; 69 degrees 23' S). Methods Palaeofaunal communities in Lake Reid were identified through examination of faunal microfossils in a sediment core that extended to c. 130,000 yr BP. Results Ephippia and mandibles from the cladoceran Daphniopsis studeri and loricae of the rotifer Notholca sp. were found at all depths in the sediment, indicating that these two species have been present in the lake for up to 130,000 years. Copepod mandibles were also present in the older section of the core, yet were absent from the most recent sediments, indicating extinction of this species from Lake Reid during the LGM. Main conclusions The presence of D. studeri and Notholca sp. microfossils throughout the entire Lake Reid core is the first direct evidence of a glacial lacustrine refugium for invertebrate animals in Antarctica, and indicates the presence of a relict fauna on the Antarctic continent.</t>
  </si>
  <si>
    <t>Univ Tasmania, Sch Zool, Hobart, Tas 7001, Australia; Univ Tasmania, IASOS, Hobart, Tas, Australia; Univ Tasmania, Tasmanian Aquaculture &amp; Fisheries Inst, Hobart, Tas, Australia; British Antarctic Survey, NERC, Cambridge CB3 0ET, England</t>
  </si>
  <si>
    <t>University of Tasmania; University of Tasmania; University of Tasmania; UK Research &amp; Innovation (UKRI); Natural Environment Research Council (NERC); NERC British Antarctic Survey</t>
  </si>
  <si>
    <t>Cromer, L (corresponding author), Univ Tasmania, Sch Zool, Private Bag 5, Hobart, Tas 7001, Australia.</t>
  </si>
  <si>
    <t>lcromer@utas.edu.au</t>
  </si>
  <si>
    <t>Newman, Louise/Q-8592-2019</t>
  </si>
  <si>
    <t>Newman, Louise/0000-0001-9523-8713; Swadling, Kerrie/0000-0002-7620-841X</t>
  </si>
  <si>
    <t>0305-0270</t>
  </si>
  <si>
    <t>J BIOGEOGR</t>
  </si>
  <si>
    <t>J. Biogeogr.</t>
  </si>
  <si>
    <t>10.1111/j.1365-2699.2006.01490.x</t>
  </si>
  <si>
    <t>Ecology; Geography, Physical</t>
  </si>
  <si>
    <t>050RD</t>
  </si>
  <si>
    <t>WOS:000238104700018</t>
  </si>
  <si>
    <t>Nævdal, E</t>
  </si>
  <si>
    <t>Dynamic optimisation in the presence of threshold effects when the location of the threshold is uncertain -: with an application to a possible disintegration of the Western Antarctic Ice Sheet</t>
  </si>
  <si>
    <t>JOURNAL OF ECONOMIC DYNAMICS &amp; CONTROL</t>
  </si>
  <si>
    <t>optimal control; catastrophic risk; climate change</t>
  </si>
  <si>
    <t>RESOURCE-MANAGEMENT; ENVIRONMENT; STABILITY; COLLAPSE; GROWTH</t>
  </si>
  <si>
    <t>The purpose of this paper is to derive necessary conditions for optimal control in the presence of threshold effects when the threshold is a curve in it-dimensional space of uncertain location. The usefulness of these conditions is shown by examining the optimal regulation of two greenhouse gases when there is a risk that the combined radiative forcing from these two gases may trigger the disintegration of the Western Antarctic ice sheet. (c) 2005 Elsevier B.V. All rights reserved.</t>
  </si>
  <si>
    <t>Norwegian Univ Life Sci, Dept Econ &amp; Resource Management, N-1432 As, Norway</t>
  </si>
  <si>
    <t>Norwegian University of Life Sciences</t>
  </si>
  <si>
    <t>Nævdal, E (corresponding author), Norwegian Univ Life Sci, Dept Econ &amp; Resource Management, POB 5003, N-1432 As, Norway.</t>
  </si>
  <si>
    <t>eric.navdal@umb.no</t>
  </si>
  <si>
    <t>0165-1889</t>
  </si>
  <si>
    <t>J ECON DYN CONTROL</t>
  </si>
  <si>
    <t>J. Econ. Dyn. Control</t>
  </si>
  <si>
    <t>10.1016/j.jedc.2005.04.004</t>
  </si>
  <si>
    <t>Economics</t>
  </si>
  <si>
    <t>Social Science Citation Index (SSCI)</t>
  </si>
  <si>
    <t>Business &amp; Economics</t>
  </si>
  <si>
    <t>058CU</t>
  </si>
  <si>
    <t>WOS:000238642900003</t>
  </si>
  <si>
    <t>Layne, JR; Peffer, BJ</t>
  </si>
  <si>
    <t>Layne, Jack Randall, Jr.; Peffer, Benjamin James</t>
  </si>
  <si>
    <t>The influence of freeze duration on postfreeze recovery by caterpillars of Pyrrharctia isabella (Lepidoptera: Arctiidae):: When is survival enough to qualify as recovery?</t>
  </si>
  <si>
    <t>JOURNAL OF EXPERIMENTAL ZOOLOGY PART A-ECOLOGICAL AND INTEGRATIVE PHYSIOLOGY</t>
  </si>
  <si>
    <t>SUB-ANTARCTIC CATERPILLAR; FLY EUROSTA-SOLIDAGINIS; COLD-HARDINESS; GALL FLY; TOLERANCE; LARVAE; INSECT; BEETLES; DIPTERA; FROZEN</t>
  </si>
  <si>
    <t>The effects of freeze exposure at -4.5 degrees C for as long as 6 weeks on long-term postfreeze survival and body fluid composition were investigated in caterpillars (woolly bears) of the arctiid moth Pyrrharctia isabella. Woolly bears routinely survived the initial postfreeze period with little difference between the 1-week (100%) and 6-week (95%) freeze treatments. Caterpillars in the latter treatment, however, reached the pupal stage almost one half as often as woolly bears in the 1-week freeze treatment. The success rate for adult emergence was not different for pupae from the two treatments (ca. 50%). Woolly bears responded to cold acclimation by accumulating glycerol to levels exceeding 300 mM although this was not augmented by extending the acclimation period to 6 weeks. There was a significant (P &lt; 0.05) rise in hemolymph [K+] during the first week of the freeze (23.4-37.8mM), which then remained stable over the remainder of the 6-week freeze period. Hemolymph [Na+] did not change from the prefreeze level over the course of the freeze treatment. Body water content showed a modest rise during the course of the freeze treatment but the underlying cause for this change was uncertain. Prolonged freeze exposure had a major impact on long-term survival of the woolly bears but this was not reflected by any instability in body fluid composition. Moreover, short-term recovery was not an effective indicator of the tolerance of P. isabella caterpillars to prolonged freezing.</t>
  </si>
  <si>
    <t>Slippery Rock Univ, Dept Biol, Slippery Rock, PA 16057 USA</t>
  </si>
  <si>
    <t>Pennsylvania State System of Higher Education (PASSHE); Slippery Rock University - Pennsylvania</t>
  </si>
  <si>
    <t>Layne, JR (corresponding author), Slippery Rock Univ, Dept Biol, Slippery Rock, PA 16057 USA.</t>
  </si>
  <si>
    <t>jrl@zvm.sru.edu</t>
  </si>
  <si>
    <t>2471-5646</t>
  </si>
  <si>
    <t>J EXP ZOOL PART A</t>
  </si>
  <si>
    <t>J. Exp. Zool. Part A-Ecol. Integr. Physiol.</t>
  </si>
  <si>
    <t>305A</t>
  </si>
  <si>
    <t>10.1002/jez.a.300</t>
  </si>
  <si>
    <t>057WS</t>
  </si>
  <si>
    <t>WOS:000238626500005</t>
  </si>
  <si>
    <t>Zhang, QH; Fan, HM; Qu, YY</t>
  </si>
  <si>
    <t>Zhang Qing-hua; Fan Hai-mei; Qu Yuan-yuan</t>
  </si>
  <si>
    <t>A DYNAMIC MODEL FOR CAUSE OF FORMATION OF PERU CURRENT</t>
  </si>
  <si>
    <t>JOURNAL OF HYDRODYNAMICS</t>
  </si>
  <si>
    <t>antarctic circumpolar current (ACC); Peru current; corrected Fourier method</t>
  </si>
  <si>
    <t>The generation mechanism of Peru Current (PC) induced by Antarctic Circumpolar Current (ACC) near the eastern boundary of South Pacific is investigated by decomposing the ACC deformation into basic loop current and eastern boundary current (western boundary current) before (after) ACC flows through Drake strait. In order to simulate this dynamic process, starting from the linearly quasi-geostrophic vorticity equation, we formulate the boundary value problems of differential equation separately at the eastern boundary area and the western boundary area; and then give the solving process of the boundary value problems using corrected Fourier method; finally obtain the Perturbation solutions of the eastern and western boundary areas which include a same set of unknown parameters relating closely to the distribution of current velocity at Drake strait. In addition, the two-sided current of Drake strait should satisfy smooth and linked conditions at Drake strait, and these matching conditions determine this set of parameters. As a result, we present the complete solutions of the ACC deformation at Drake strait; consequently obtain the dynamic explanation for cause of formation of PC.</t>
  </si>
  <si>
    <t>[Zhang Qing-hua; Fan Hai-mei; Qu Yuan-yuan] State Ocean Adm, Key Lab Marine Sci &amp; Numer Modeling, Qingdao 266061, Peoples R China</t>
  </si>
  <si>
    <t>Zhang, QH (corresponding author), State Ocean Adm, Key Lab Marine Sci &amp; Numer Modeling, Qingdao 266061, Peoples R China.</t>
  </si>
  <si>
    <t>zhangqh@fio.org.cn; fanhm@fio.org.cn; quyy@fio.org.cn</t>
  </si>
  <si>
    <t>Zhang, Qinghua/G-3980-2019</t>
  </si>
  <si>
    <t>1001-6058</t>
  </si>
  <si>
    <t>1878-0342</t>
  </si>
  <si>
    <t>J HYDRODYN</t>
  </si>
  <si>
    <t>J. Hydrodyn.</t>
  </si>
  <si>
    <t>10.1016/S1001-6058(06)60097-8</t>
  </si>
  <si>
    <t>Mechanics</t>
  </si>
  <si>
    <t>V22AS</t>
  </si>
  <si>
    <t>WOS:000208248700077</t>
  </si>
  <si>
    <t>Rai, S; Pandey, AC</t>
  </si>
  <si>
    <t>Rai, Shailendra; Pandey, A. C.</t>
  </si>
  <si>
    <t>Antarctic sea ice variability in recent years and its relationship with Indian Ocean Sea Surface Temperature</t>
  </si>
  <si>
    <t>JOURNAL OF INDIAN GEOPHYSICAL UNION</t>
  </si>
  <si>
    <t>SST; CLIMATE; DIPOLE</t>
  </si>
  <si>
    <t>Antarctic sea ice edge variability is analyzed for 23 years (1982-2004) data of satellite passive microwave observation. Sea ice edge anomaly averaged around Antarctica shows nearly zero trend in the time domain. The positive trend of Ross, Weddell seas and Indian Ocean is reduced and the sea ice accumulation in Pacific Ocean region is increased but the sea ice variability in Bellingshausen/Amundsen seas is unaffected in recent years. Maximum Antarctic Sea ice concentration trend of 0.01 degrees/year is found during summer season for the period 1982-1998 but the same season shows a negative trend for the period 1982-2004. On the regional scale the trend differs from season to season. Ross and Weddell seas show positive trend whereas Bellingshausen/Amundsen sea shows negative trend for all the seasons. The relationship of Antarctic sea ice variability with Indian Ocean SST is studied and found that the most persistent positive relation exists for the southeast Indian Ocean region, off Australia.</t>
  </si>
  <si>
    <t>[Rai, Shailendra] Univ Allahabad, K Banerjee Ctr Atmospher &amp; Ocean Studies, Allahabad 211002, Uttar Pradesh, India; [Pandey, A. C.] Univ Allahabad, Dept Phys, Allahabad 211001, Uttar Pradesh, India</t>
  </si>
  <si>
    <t>University of Allahabad; University of Allahabad</t>
  </si>
  <si>
    <t>Rai, S (corresponding author), Univ Allahabad, K Banerjee Ctr Atmospher &amp; Ocean Studies, Allahabad 211002, Uttar Pradesh, India.</t>
  </si>
  <si>
    <t>r_shail77@rediffmail.com</t>
  </si>
  <si>
    <t>Pandey, Ashok/AAC-6340-2019; Pandey, Ashok/JBR-8714-2023</t>
  </si>
  <si>
    <t>Pandey, Ashok/0000-0003-1626-3529; Pandey, Ashok/0000-0003-1626-3529</t>
  </si>
  <si>
    <t>INDIAN GEOPHYSICAL UNION-IGU</t>
  </si>
  <si>
    <t>HYDERABAD</t>
  </si>
  <si>
    <t>NGRI, UPPAL RD, HYDERABAD, 500 007, INDIA</t>
  </si>
  <si>
    <t>0257-7968</t>
  </si>
  <si>
    <t>J INDIAN GEOPHYS UNI</t>
  </si>
  <si>
    <t>J. Indian Geophys. Union</t>
  </si>
  <si>
    <t>Emerging Sources Citation Index (ESCI)</t>
  </si>
  <si>
    <t>V8H9Y</t>
  </si>
  <si>
    <t>WOS:000421653300006</t>
  </si>
  <si>
    <t>Deere, JA; Sinclair, BJ; Marshall, DJ; Chown, SL</t>
  </si>
  <si>
    <t>Deere, Jacques A.; Sinclair, Brent J.; Marshall, David J.; Chown, Steven L.</t>
  </si>
  <si>
    <t>Phenotypic plasticity of thermal tolerances in five oribatid mite species from sub-Antarctic Marion Island</t>
  </si>
  <si>
    <t>JOURNAL OF INSECT PHYSIOLOGY</t>
  </si>
  <si>
    <t>phenotypic plasticity; thermal tolerance; supercooling point; lower lethal temperature; upper lethal temperature</t>
  </si>
  <si>
    <t>INSECT COLD-HARDINESS; BENEFICIAL ACCLIMATION HYPOTHESIS; WATER-BALANCE; PHYSIOLOGICAL PLASTICITY; TEMPERATURE TOLERANCE; CLIMATE-CHANGE; RESISTANCE; BIOLOGY; STRESS; LIMITS</t>
  </si>
  <si>
    <t>The extent to which phenotypic plasticity might mediate short-term responses to environmental change is controversial. Nonetheless, theoretical work has made the prediction that plasticity should be common, especially in predictably variable environments by comparison with those that are either stable or unpredictable. Here we examine these predictions by comparing the phenotypic plasticity of thermal tolerances (supercooling point (SCP), lower lethal temperature (LLT), upper lethal temperature (ULT)), following acclimation at either 0, 5, 10 or 15 C, for seven days, of five, closely-related ameronothroid mite species. These species occupy marine and terrestrial habitats, which differ in their predictability, on sub-Antarctic Marion Island. All of the species showed some evidence of pre-freeze mortality (SCPs -9 to -23 degrees C; LLTs -3 to -15 degrees C), though methodological effects might have contributed to the difference between the SCPs and LLTs, and the species are therefore considered moderately chill tolerant. ULTs varied between 36 C and 41 C. Acclimation effects on SCP and LLT were typically stronger in the marine than in the terrestrial species, in keeping with the prediction of strong acclimation responses in species from predictably variable environments, but weaker responses in species from unpredictable environments. The converse was found for ULT. These findings demonstrate that acclimation responses vary among traits in the same species. Moreover, they suggest that there is merit in assessing the predictability of changes in high and low environmental temperatures separately. (c) 2006 Elsevier Ltd. All rights reserved.</t>
  </si>
  <si>
    <t>Univ Stellenbosch, Ctr Invas Biol, Dept Bot &amp; Zool, ZA-7602 Matieland, South Africa; Univ Brunei Darussalam, Dept Biol, Gadong 1410, Brunei</t>
  </si>
  <si>
    <t>Stellenbosch University; University Brunei Darussalam</t>
  </si>
  <si>
    <t>Chown, SL (corresponding author), Univ Stellenbosch, Ctr Invas Biol, Dept Bot &amp; Zool, Private Bag 11, ZA-7602 Matieland, South Africa.</t>
  </si>
  <si>
    <t>slchown@sun.ac.za</t>
  </si>
  <si>
    <t>Chown, Steven/ABD-7646-2021; Sinclair, Brent J/C-6133-2012; Deere, Jacques/I-4721-2019; Chown, Steven L/H-3347-2011; Deere, Jacques/C-8128-2009</t>
  </si>
  <si>
    <t>Deere, Jacques/0000-0001-6736-2223; Sinclair, Brent/0000-0002-8191-9910; Marshall, David/0000-0003-3771-5950</t>
  </si>
  <si>
    <t>0022-1910</t>
  </si>
  <si>
    <t>1879-1611</t>
  </si>
  <si>
    <t>J INSECT PHYSIOL</t>
  </si>
  <si>
    <t>J. Insect Physiol.</t>
  </si>
  <si>
    <t>10.1016/j.jinsphys.2006.03.009</t>
  </si>
  <si>
    <t>Entomology; Physiology; Zoology</t>
  </si>
  <si>
    <t>064ID</t>
  </si>
  <si>
    <t>WOS:000239081500005</t>
  </si>
  <si>
    <t>Budillon, G; Salusti, E; Tucci, S</t>
  </si>
  <si>
    <t>Budillon, Giorgio; Salusti, Ettore; Tucci, Sergio</t>
  </si>
  <si>
    <t>The evolution of density currents and nepheloid bottom layers in the Ross Sea (Antarctica)</t>
  </si>
  <si>
    <t>JOURNAL OF MARINE RESEARCH</t>
  </si>
  <si>
    <t>TURBIDITY CURRENTS; GRAVITY CURRENTS; WATER; SHELF; SLOPE; MODEL; ICE</t>
  </si>
  <si>
    <t>In this study we have analyzed the thermohaline, light transmission and particulate matter data, obtained in the western sector of the Ross Sea during the X Italian Expedition, for the purpose of investigating the evolution of the High Salinity Shelf Water in this area. In particular CTD data were used to estimate the baroclinic velocity field. Light transmission and total particulate matter data (from Niskin bottles mounted on a Carousel water sampler) were used to analyze the nepheloid layers and the evolution of the suspended sediments. This basin is characterized by a northward flow of very dense High Salinity Shelf Water (theta similar to - 1.95 degrees C, S similar to 34.90), much colder than the incoming Circumpolar Deep Water (theta similar to 1.20 degrees C, S similar to 34.70). We obtained a scenario in which the High Salinity Shelf Water interacts with the Circumpolar Deep Water along the Antarctic Slope Front, and deviates from its geostrophic equilibrium. Interestingly, this cold dense water mixes with Circumpolar Deep Water at the shelf break and flows downward until it seems to disappear. Below this cold flow, a thin turbulent current has been observed, again moving northward with a high velocity similar to 0.2-1.0 m s(-1). This thin flow also contains high concentration of suspended matter produced by the interaction of the dense water and the bottom sediments. The various elementary mechanisms ruling the dynamics of such down-flows, namely the effects of topographic irregularities, bottom friction, Ekman benthic boundary layers or the effect of the variability of the Antarctic Circumpolar Current, which can push offshore the dense water, are discussed in this paper.</t>
  </si>
  <si>
    <t>Univ Naples Federico II, Dipartimento Sci Ambiente, I-80133 Naples, Italy; Univ Roma La Sapienza, Dipartimento Fis, Ist Nazl Fis Nucl, I-00185 Rome, Italy; Univ Genoa, Dipartimento Studio Territorio &amp; Risorse, I-16132 Genoa, Italy</t>
  </si>
  <si>
    <t>University of Naples Federico II; Sapienza University Rome; Istituto Nazionale di Fisica Nucleare (INFN); University of Genoa</t>
  </si>
  <si>
    <t>Budillon, G (corresponding author), Univ Naples Federico II, Dipartimento Sci Ambiente, Via Act 38, I-80133 Naples, Italy.</t>
  </si>
  <si>
    <t>giorgio.budillon@uniparthenope.it</t>
  </si>
  <si>
    <t>Budillon, Giorgio/O-5348-2014</t>
  </si>
  <si>
    <t>Budillon, Giorgio/0000-0003-1756-2221</t>
  </si>
  <si>
    <t>SEARS FOUNDATION MARINE RESEARCH</t>
  </si>
  <si>
    <t>NEW HAVEN</t>
  </si>
  <si>
    <t>YALE UNIV, KLINE GEOLOGY LAB, 210 WHITNEY AVENUE, NEW HAVEN, CT 06520-8109 USA</t>
  </si>
  <si>
    <t>0022-2402</t>
  </si>
  <si>
    <t>1543-9542</t>
  </si>
  <si>
    <t>J MAR RES</t>
  </si>
  <si>
    <t>J. Mar. Res.</t>
  </si>
  <si>
    <t>10.1357/002224006778715739</t>
  </si>
  <si>
    <t>098RB</t>
  </si>
  <si>
    <t>WOS:000241539400002</t>
  </si>
  <si>
    <t>Votier, SC; Crane, JE; Bearhop, S; de León, A; McSorley, CA; Mínguez, E; Mitchell, IP; Parsons, M; Phillips, RA; Furness, RW</t>
  </si>
  <si>
    <t>Votier, Stephen C.; Crane, Jonathan E.; Bearhop, Stuart; de Leon, Ana; McSorley, Claire A.; Minguez, Eduardo; Mitchell, Ian P.; Parsons, Matthew; Phillips, Richard A.; Furness, Robert W.</t>
  </si>
  <si>
    <t>Nocturnal foraging by great skuas Stercorarius skua:: implications for conservation of storm-petrel populations</t>
  </si>
  <si>
    <t>Stercorarius skua; Oceanodroma leucorhoa; Predator-prey dynamics; Conservation; Foraging</t>
  </si>
  <si>
    <t>CATHARACTA-SKUA; ST KILDA; DIET; PREDATION; ISLAND; LONNBERGI; FISHERIES; SEABIRDS; AGE</t>
  </si>
  <si>
    <t>At St Kilda, Outer Hebrides, a large colony of great skuas Stercorarius skua feed extensively on one of the largest colonies of Leach's storm-petrels Oceanodroma leucorhoa in Europe, but little is known about the dynamics of this predator-prey system. Recently published population estimates of storm-petrels make it possible to estimate the impact of skua predation for the first time. Although skuas in the southern hemisphere catch petrels attending breeding colonies at night, it is not known whether congeners in the northern hemisphere also forage during the hours of darkness. We found (using radio-transmitters) that skuas regularly forage at night and (using light intensifying equipment) observed them catching storm-petrels at night. However, skuas also foraged during daylight hours, and it is unknown whether they might also catch storm-petrels at sea. Data on diet composition reveals that the proportion of storm-petrels in skua diet declined between 1996 and 1997, but remained constant thereafter. Although a large proportion of the storm-petrel prey is likely to consist of non-breeders, numbers consumed suggest that breeders and an unknown quantity of transients may also been eaten. The numbers of storm-petrels eaten are not sustainable and may result in substantial long-term population declines. Under current conditions, maintenance of large populations of both Leach's storm-petrels and great skuas at St Kilda appears to be mutually exclusive.</t>
  </si>
  <si>
    <t>Univ Plymouth, Sch Biol Sci, Marine Biol &amp; Ecol Res Ctr, Plymouth PL4 8AA, Devon, England; Univ Glasgow, Inst Biomed &amp; Life Sci, Glasgow G12 8QQ, Lanark, Scotland; Queens Univ Belfast, Ctr Med Biol, Sch Biol &amp; Biochem, Belfast BT9 7BL, Antrim, North Ireland; Joint Nat Conservat Comm, Aberdeen AB10 1UZ, Scotland; Univ Miguel Hernandez, Dept Biol Aplicada, Area Ecol, E-03202 Elche, Spain; British Antarctic Survey, NERC, Cambridge CB3 0ET, England</t>
  </si>
  <si>
    <t>University of Plymouth; University of Glasgow; Queens University Belfast; Universidad Miguel Hernandez de Elche; UK Research &amp; Innovation (UKRI); Natural Environment Research Council (NERC); NERC British Antarctic Survey</t>
  </si>
  <si>
    <t>Votier, SC (corresponding author), Univ Plymouth, Sch Biol Sci, Marine Biol &amp; Ecol Res Ctr, Drake Circus, Plymouth PL4 8AA, Devon, England.</t>
  </si>
  <si>
    <t>stephen.votier@plymouth.ac.uk; jc29u@udcf.gla.ac.uk; s.bearhop@qub.ac.uk; llademar@terra.es; claire.mcsorley@jncc.gov.uk; eminguez@umh.es; ian.mitchell@jncc.gov.uk; matt.parsons@jncc.gov.uk; raphil@bas.ac.uk; r.w.furness@bio.gla.ac.uk</t>
  </si>
  <si>
    <t>Votier, Stephen/IUO-0154-2023; Bearhop, Stuart/G-3105-2012</t>
  </si>
  <si>
    <t>Votier, Stephen/0000-0002-0976-0167; Bearhop, Stuart/0000-0002-5864-0129</t>
  </si>
  <si>
    <t>10.1007/s10336-005-0021-9</t>
  </si>
  <si>
    <t>049OE</t>
  </si>
  <si>
    <t>WOS:000238025100001</t>
  </si>
  <si>
    <t>Verdy, A; Marshall, J; Czaja, A</t>
  </si>
  <si>
    <t>Verdy, Ariane; Marshall, John; Czaja, Arnaud</t>
  </si>
  <si>
    <t>Sea surface temperature variability along the path of the antarctic circumpolar current</t>
  </si>
  <si>
    <t>DECADAL CLIMATE VARIABILITY; NORTH-ATLANTIC; ICE EXTENT; EL-NINO; ATMOSPHERE; OCEAN; CIRCULATION; MODEL; WAVE; TELECONNECTIONS</t>
  </si>
  <si>
    <t>The spatial and temporal distributions of sea surface temperature (SST) anomalies in the Antarctic Circumpolar Current (ACC) are investigated, using monthly data from the NCEP-NCAR reanalysis for the period 1980-2004. Patterns of atmospheric forcing are identified in observations of sea level pressure and air-sea heat fluxes. It is found that a significant fraction of SST variability in the ACC can be understood as a linear response to surface forcing by the Southern Annular Mode (SAM) and remote forcing by ENSO. The physical mechanisms rely on the interplay between atmospheric variability and mean advection by the ACC. SAM and ENSO drive a low-level anomalous circulation pattern localized over the South Pacific Ocean, inducing surface heat fluxes and Ekman heat advection anomalies. A simple model of SST propagating in the ACC, forced with heat fluxes estimated from the reanalysis, suggests that surface heat fluxes and Ekman heat advection are equally important in driving the observed SST variability. Further diagnostics indicate that SST anomalies, generated mainly upstream of Drake Passage, are subsequently advected by the ACC and damped after a couple of years. It is suggested that SST variability along the path of the ACC is largely a passive response of the oceanic mixed layer to atmospheric forcing.</t>
  </si>
  <si>
    <t>MIT, Dept Earth Atmospher &amp; Planetary Sci, Cambridge, MA 02139 USA; MIT, MIT WHOI Joint Program Oceanog, Cambridge, MA 02139 USA</t>
  </si>
  <si>
    <t>Massachusetts Institute of Technology (MIT); Massachusetts Institute of Technology (MIT)</t>
  </si>
  <si>
    <t>Verdy, A (corresponding author), MIT, Dept Earth Atmospher &amp; Planetary Sci, Rm 54-1419,77 Massachusetts Ave, Cambridge, MA 02139 USA.</t>
  </si>
  <si>
    <t>averdy@ocean.mit.edu</t>
  </si>
  <si>
    <t>Verdy, Ariane/B-6470-2008</t>
  </si>
  <si>
    <t>Czaja, Arnaud/0000-0003-3645-0284; Verdy, Ariane/0000-0002-2774-2691</t>
  </si>
  <si>
    <t>10.1175/JPO2913.1</t>
  </si>
  <si>
    <t>076TC</t>
  </si>
  <si>
    <t>WOS:000239979600005</t>
  </si>
  <si>
    <t>Tol, RSJ; Bohn, M; Downing, TE; Guillerminet, ML; Hizsnyik, E; Kasperson, R; Lonsdale, K; Mays, C; Nicholls, RJ; Olsthoorn, AA; Pfeifle, G; Poumadere, M; Toth, FL; Vafeidis, AT; Van der Werff, PE; Yetkiner, IH</t>
  </si>
  <si>
    <t>Tol, Richard S. J.; Bohn, Maria; Downing, Thomas E.; Guillerminet, Marie-Laure; Hizsnyik, Eva; Kasperson, Roger; Lonsdale, Kate; Mays, Claire; Nicholls, Robert J.; Olsthoorn, Alexander A.; Pfeifle, Gabriele; Poumadere, Marc; Toth, Ferenc L.; Vafeidis, Athanasios T.; Van der Werff, Peter E.; Yetkiner, I. Hakan</t>
  </si>
  <si>
    <t>Adaptation to five metres of sea level rise</t>
  </si>
  <si>
    <t>JOURNAL OF RISK RESEARCH</t>
  </si>
  <si>
    <t>13th Annual SRA-Europe Conference</t>
  </si>
  <si>
    <t>NOV 15-17, 2004</t>
  </si>
  <si>
    <t>Paris, FRANCE</t>
  </si>
  <si>
    <t>ANTARCTIC ICE-SHEET; ATLANTIC THERMOHALINE CIRCULATION; OCEAN CIRCULATION; POLICY EXERCISES; CLIMATE POLICY; COLLAPSE; THRESHOLDS; STABILITY; IMPACTS; MODEL</t>
  </si>
  <si>
    <t>There is an unknown but probably small probability that the West-Antarctic Ice Sheet (WAIS) will collapse because of anthropogenic climate change. A WAIS collapse could cause a 5-6 metre global sea level rise within centuries. In three case studies, we investigate the response of society to the most extreme yet not implausible scenario, a five-metre sea level rise within a century, starting in 2030. The case studies combine a series of interviews with experts and stakeholders with a gaming workshop. In the Rhone delta, the most likely option would be retreat, with economic losses, perhaps social losses, and maybe ecological gains. In the Thames estuary, the probable outcome is less clear, but would probably be a mix of protection, accommodation and retreat, with parts of the city centre turned into a Venice of London. A massive downstream barrier is an alternative response. In the Rhine delta (the Netherlands), the initial response would be protection, followed by retreat from the economically less important parts of the country and, probably, from Amsterdam Rotterdam metropolitan region as well. These impacts are large compared to other climate change impacts, but probably small compared to the impacts of the same scenario in other parts of the world. This suggests that the possibility of a anthropogenic-climate-change-induced WAIS collapse would strengthen the case for greenhouse gas emission reduction.</t>
  </si>
  <si>
    <t>Univ Hamburg, ZMK, FNU, Res Unit Sustainabil &amp; Global Change, D-20146 Hamburg, Germany; Ctr Marine &amp; Atmoshper Sci, Hamburg, Germany; Vrije Univ Amsterdam, Inst Environm Studies, Amsterdam, Netherlands; Carnegie Mellon Univ, Pittsburgh, PA 15213 USA; Stockholm Environm Inst, Stockholm, Sweden; Stockholm Environm Inst, Oxford, England; Int Inst Appl Syst Anal, A-2361 Laxenburg, Austria; Inst Symlog, Paris, France; Univ Southampton, Sch Civil &amp; Environm Engn, Southampton SO9 5NH, Hants, England; Middlesex Univ, Flood Hazard Res Ctr, London N17 8HR, England; Univ Aegean, Dept Geogr, Lesvos, Greece; Izmir Univ Econ, Dept Econ, Balcova, Turkey</t>
  </si>
  <si>
    <t>University of Hamburg; Vrije Universiteit Amsterdam; Carnegie Mellon University; Stockholm Environment Institute; International Institute for Applied Systems Analysis (IIASA); University of Southampton; Middlesex University; University of Aegean; Izmir Ekonomi Universitesi</t>
  </si>
  <si>
    <t>Tol, RSJ (corresponding author), Univ Hamburg, ZMK, FNU, Res Unit Sustainabil &amp; Global Change, Bundesstr 55, D-20146 Hamburg, Germany.</t>
  </si>
  <si>
    <t>richard.tol@zmaw.de</t>
  </si>
  <si>
    <t>Nicholls, Robert James/G-3898-2010; Tol, Richard/JOZ-9904-2023; Nicholls, Robert James/ABD-1481-2020; Tol, Richard S. J./D-5245-2011; Vafeidis, Athanasios Thomas/Z-6053-2019; Yetkiner, Hakan/D-5955-2014</t>
  </si>
  <si>
    <t>Nicholls, Robert James/0000-0002-9715-1109; Nicholls, Robert James/0000-0002-9715-1109; Tol, Richard S. J./0000-0002-8012-3988; Vafeidis, Athanasios Thomas/0000-0002-3906-5544; Poumadere, Marc/0000-0003-2308-5409; Mays, Claire/0000-0001-7869-2674; Yetkiner, Hakan/0000-0002-4455-8757</t>
  </si>
  <si>
    <t>ROUTLEDGE JOURNALS, TAYLOR &amp; FRANCIS LTD</t>
  </si>
  <si>
    <t>4 PARK SQUARE, MILTON PARK, ABINGDON OX14 4RN, OXFORDSHIRE, ENGLAND</t>
  </si>
  <si>
    <t>1366-9877</t>
  </si>
  <si>
    <t>J RISK RES</t>
  </si>
  <si>
    <t>J. Risk Res.</t>
  </si>
  <si>
    <t>10.1080/13669870600717632</t>
  </si>
  <si>
    <t>Social Sciences, Interdisciplinary</t>
  </si>
  <si>
    <t>Conference Proceedings Citation Index - Social Science &amp; Humanities (CPCI-SSH); Social Science Citation Index (SSCI)</t>
  </si>
  <si>
    <t>Social Sciences - Other Topics</t>
  </si>
  <si>
    <t>074MI</t>
  </si>
  <si>
    <t>WOS:000239816100003</t>
  </si>
  <si>
    <t>Jin, FF; Pan, LL; Watanabe, M</t>
  </si>
  <si>
    <t>Jin, F. -F.; Pan, L. -L.; Watanabe, M.</t>
  </si>
  <si>
    <t>Dynamics of synoptic eddy and low-frequency flow interaction. Part II: A theory for low-frequency modes</t>
  </si>
  <si>
    <t>JOURNAL OF THE ATMOSPHERIC SCIENCES</t>
  </si>
  <si>
    <t>MIDLATITUDE STORM TRACKS; BAROCLINIC BETA-CHANNEL; ARCTIC OSCILLATION; ANNULAR MODES; CLIMATE VARIABILITY; STATIONARY WAVES; ZONAL INDEX; MEAN FLOW; ATMOSPHERE; CIRCULATION</t>
  </si>
  <si>
    <t>Amidst stormy atmospheric circulation, there are prominent recurrent patterns of variability in the planetary circulation, such as the Antarctic Oscillation (AAO), Arctic Oscillation (AO) or North Atlantic Oscillation (NAO), and the Pacific-North America (PNA) pattern. The role of the synoptic eddy and low-frequency flow (SELF) feedback in the formation of these dominant low-frequency modes is investigated in this paper using the linear barotropic model with the SELF feedback proposed in Part I. It is found that the AO-like and AAO-like leading singular modes of the linear dynamical system emerge from the stormy background flow as the result of a positive SELF feedback. This SELF feedback also prefers a PNA-like singular vector as well among other modes under the climatological conditions of northern winters. A model with idealized conditions of basic mean flow and activity of synoptic eddy flow and a prototype model are also used to illustrate that there is a natural scale selection for the AAO-and AO-like modes through the positive SELF feedback. The zonal scale of the localized features in the Atlantic (southern Indian Ocean) for AO (AAO) is largely related to the zonal extent of the enhanced storm track activity in the region. The meridional dipole structures of AO- and AAO-like low-frequency modes are favored because of the scale-selective positive SELF feedback, which can be heuristically understood by the tilted-trough mechanism.</t>
  </si>
  <si>
    <t>Florida State Univ, Dept Meteorol, Tallahassee, FL 32306 USA; Univ Hawaii Manoa, Dept Meteorol, Honolulu, HI 96822 USA; Hokkaido Univ, Grad Sch Environm Earth Sci, Sapporo, Hokkaido 060, Japan</t>
  </si>
  <si>
    <t>State University System of Florida; Florida State University; University of Hawaii System; University of Hawaii Manoa; Hokkaido University</t>
  </si>
  <si>
    <t>Jin, FF (corresponding author), Florida State Univ, Dept Meteorol, Room 431,Love Bldg, Tallahassee, FL 32306 USA.</t>
  </si>
  <si>
    <t>jff@met.fsu.edu</t>
  </si>
  <si>
    <t>Watanabe, Masahiro/G-8228-2017</t>
  </si>
  <si>
    <t>Watanabe, Masahiro/0000-0001-6500-2101</t>
  </si>
  <si>
    <t>0022-4928</t>
  </si>
  <si>
    <t>1520-0469</t>
  </si>
  <si>
    <t>J ATMOS SCI</t>
  </si>
  <si>
    <t>J. Atmos. Sci.</t>
  </si>
  <si>
    <t>10.1175/JAS3716.1</t>
  </si>
  <si>
    <t>067MT</t>
  </si>
  <si>
    <t>WOS:000239308000002</t>
  </si>
  <si>
    <t>Pan, LL; Jin, FF; Watanabe, M</t>
  </si>
  <si>
    <t>Pan, L. -L.; Jin, F. -F.; Watanabe, M.</t>
  </si>
  <si>
    <t>Dynamics of synoptic eddy and low-frequency flow interaction. Part III: Baroclinic model results</t>
  </si>
  <si>
    <t>MIDLATITUDE STORM TRACKS; ZONAL-MEAN FLOW; ARCTIC OSCILLATION; NORTH-ATLANTIC; GEOPOTENTIAL HEIGHT; BETA-CHANNEL; EL-NINO; VARIABILITY; ATMOSPHERE; HEMISPHERE</t>
  </si>
  <si>
    <t>In this three-part study, a linear closure has been developed for the synoptic eddy and low-frequency flow (SELF) interaction and demonstrated that internal dynamics plays an important role in generating the leading low-frequency modes in the extratropical circulation anomalies during cold seasons. In Part III, a new linearized primitive equation system is first derived for time-mean flow anomalies. The dynamical operator of the system includes a traditional part depending on the observed climatological mean state and an additional part from the SELF feedback closure utilizing the observed climatological properties of synoptic eddy activity. The latter part relates nonlocally all the anomalous eddy-forcing terms in equations of momentum, temperature, and surface pressure to the time-mean flow anomalies. Using the observational data, the closure was validated with reasonable success, and it was found that terms of the SELF feedback in the momentum and pressure equations tend to reinforce the low-frequency modes, whereas those in the thermodynamic equation tends to damp the temperature anomalies to make the leading modes equivalent barotropic. Through singular vector analysis of the linear dynamical operator, it is highlighted that the leading modes of the system resemble the observed patterns of the Arctic Oscillation, Antarctic Oscillation, and Pacific-North American pattern, in which the SELF feedback plays an essential role, consistent with the finding of the barotropic model study in Part II.</t>
  </si>
  <si>
    <t>Univ Hawaii Manoa, Sch Ocean &amp; Earth Sci &amp; Technol, Int Pacific Res Ctr, Dept Meteorol, Honolulu, HI 96822 USA; Florida State Univ, Dept Meteorol, Tallahassee, FL 32306 USA; Hokkaido Univ, Grad Sch Environm Earth Sci, Sapporo, Hokkaido 060, Japan</t>
  </si>
  <si>
    <t>University of Hawaii System; University of Hawaii Manoa; State University System of Florida; Florida State University; Hokkaido University</t>
  </si>
  <si>
    <t>Pan, LL (corresponding author), Univ Hawaii Manoa, Sch Ocean &amp; Earth Sci &amp; Technol, Int Pacific Res Ctr, Dept Meteorol, 2525 Correa Rd, Honolulu, HI 96822 USA.</t>
  </si>
  <si>
    <t>lpan@hawaii.edu</t>
  </si>
  <si>
    <t>10.1175/JAS3717.1</t>
  </si>
  <si>
    <t>WOS:000239308000003</t>
  </si>
  <si>
    <t>Stewart, EJ; Kirby, VG; Steel, GD</t>
  </si>
  <si>
    <t>Stewart, Emma J.; Kirby, Val G.; Steel, Gary D.</t>
  </si>
  <si>
    <t>Perceptions of Antarctic tourism: A question of tolerance</t>
  </si>
  <si>
    <t>LANDSCAPE RESEARCH</t>
  </si>
  <si>
    <t>Antarctica; tourism; hosts; perceptions; tolerance</t>
  </si>
  <si>
    <t>SOCIOCULTURAL IMPACTS; ATTITUDES</t>
  </si>
  <si>
    <t>Perceptions of tourism held by a sample of New Zealand's Antarctic community are explored, and the small, mixed group of scientists and support workers that populate Scott Base ( New Zealand's research base in the Ross Dependency, Antarctica) are treated as proxy for a 'host' community. This exploration is part of a wider study that set out to investigate the nature and meanings of Antarctic heritage. Although the research did not explicitly set out to survey perceptions of tourism, approximately one-half of those interviewed in the wider study gave an insight into this topic. The qualitative data reported were gathered during two visits to Scott Base in 1999. From the responses a three-fold classification was derived, indicating degrees of tolerance toward tourism: cautious, complex and comfortable tolerance.</t>
  </si>
  <si>
    <t>Univ Calgary, Dept Geog, Fac Social Sci, Calgary, AB T2N 1N4, Canada; Countryside Agcy, Cheltenham, Glos, England; Lincoln Univ, Div Human Sci, Canterbury, New Zealand</t>
  </si>
  <si>
    <t>University of Calgary; Lincoln University - New Zealand</t>
  </si>
  <si>
    <t>Stewart, EJ (corresponding author), Univ Calgary, Dept Geog, Fac Social Sci, Earth Sci 356,2500 Univ Dr NW, Calgary, AB T2N 1N4, Canada.</t>
  </si>
  <si>
    <t>ejstewar@ucalgary.ca</t>
  </si>
  <si>
    <t>Stewart, Emma/P-7189-2018; Steel, Gary/P-6729-2018</t>
  </si>
  <si>
    <t>Stewart, Emma/0000-0002-1573-9444; Steel, Gary/0000-0002-8499-9709</t>
  </si>
  <si>
    <t>2-4 PARK SQUARE, MILTON PARK, ABINGDON OX14 4RN, OXON, ENGLAND</t>
  </si>
  <si>
    <t>0142-6397</t>
  </si>
  <si>
    <t>1469-9710</t>
  </si>
  <si>
    <t>LANDSCAPE RES</t>
  </si>
  <si>
    <t>Landsc. Res.</t>
  </si>
  <si>
    <t>10.1080/01426390600783111</t>
  </si>
  <si>
    <t>Environmental Studies; Geography</t>
  </si>
  <si>
    <t>Environmental Sciences &amp; Ecology; Geography</t>
  </si>
  <si>
    <t>075YV</t>
  </si>
  <si>
    <t>WOS:000239924700001</t>
  </si>
  <si>
    <t>Morán, XAG; Sebastián, M; Pedrós-Alió, C; Estrada, M</t>
  </si>
  <si>
    <t>Moran, Xose Anxelu G.; Sebastian, Marta; Pedros-Alio, Carlos; Estrada, Marta</t>
  </si>
  <si>
    <t>Response of Southern Ocean phytoplankton and bacterioplankton production to short-term experimental warming</t>
  </si>
  <si>
    <t>LIMNOLOGY AND OCEANOGRAPHY</t>
  </si>
  <si>
    <t>DISSOLVED ORGANIC-MATTER; NATURAL AQUATIC SYSTEMS; ANTARCTIC PHYTOPLANKTON; AUSTRAL SUMMER; ROSS SEA; BACTERIAL PRODUCTION; BRANSFIELD STRAIT; PHOTOSYNTHETIC PARAMETERS; GROWTH EFFICIENCY; LOW-TEMPERATURE</t>
  </si>
  <si>
    <t>We examined the potential response of Southern Ocean pelagic ecosystems to warming through changes in total primary production (particulate plus dissolved = PPP + DPP) and bacterial production (BP), determined simultaneously at ambient temperature (-1.4 to 0.4 degrees C) and at 2 degrees C in eight experiments performed near the Antarctic Peninsula in late spring 2002. Short (&lt; 6 h) time course experiments of radiocarbon uptake and photo synthesis-irradiance relationships consistently showed that a significant amount of photosynthate appeared as dissolved substances, with a mean 35% extracellular release (PER). Whereas PPP remained virtually unchanged (0.7 mg C m(-3) h(-1)), DPP increased significantly at 2 degrees C from 0.5 to 0.9 Mg C m(-3) h(-1). The corresponding increase in PER (54% on average) was significantly and positively correlated with the temperature difference among treatments, suggesting that an increase in DPP could be expected with a temperature rise in the Southern Ocean. BP, estimated via [H-3]leucine incorporation, tended to increase at 2 degrees C only at low absolute values, and this increment was inversely related to PPP. However, our results show that the estimated bacterial carbon demand (BCD) was generally well below concurrent DPP at both treatments (mean BCD:DPP ratios of 0.60 and 0.27 at ambient temperature and 2 degrees C, respectively), indicating that temperature-related extra inputs of organic substrates were not fully and immediately processed by bacteria. To the extent that these results reflect general ecophysiological trends, warming of Southern Ocean surface waters could produce changes in plankton-mediated biogeochemical processes leading to a greater importance of dissolved organic matter fluxes.</t>
  </si>
  <si>
    <t>IEO, Ctr Oceanog Xixon, E-33212 Xixon, Spain; IEO, Ctr Ocenog Malaga, E-29640 Malaga, Spain; CSIC, CMIMA, Inst Ciencias Mar, Dept Biol Marina &amp; Oceanog, E-08003 Barcelona, Spain</t>
  </si>
  <si>
    <t>Consejo Superior de Investigaciones Cientificas (CSIC); CSIC - Centro Mediterraneo de Investigaciones Marinas y Ambientales (CMIMA); CSIC - Instituto de Ciencias del Mar (ICM)</t>
  </si>
  <si>
    <t>Morán, XAG (corresponding author), IEO, Ctr Oceanog Xixon, Camin Arbeyal,S-N, E-33212 Xixon, Spain.</t>
  </si>
  <si>
    <t>xelu.moran@gi.ieo.es</t>
  </si>
  <si>
    <t>Sebastian, Marta/J-9856-2014; Sebastian, Marta/ABE-2946-2021; Estrada, Marta/L-6207-2014; Pedros-Alio, Carlos/H-1222-2011; Moran, Xose Anxelu G./K-9647-2014</t>
  </si>
  <si>
    <t>Sebastian, Marta/0000-0001-7175-8941; Estrada, Marta/0000-0001-5769-9498; Pedros-Alio, Carlos/0000-0003-1009-4277; Moran, Xose Anxelu G./0000-0002-9823-5339</t>
  </si>
  <si>
    <t>0024-3590</t>
  </si>
  <si>
    <t>1939-5590</t>
  </si>
  <si>
    <t>LIMNOL OCEANOGR</t>
  </si>
  <si>
    <t>Limnol. Oceanogr.</t>
  </si>
  <si>
    <t>10.4319/lo.2006.51.4.1791</t>
  </si>
  <si>
    <t>Limnology; Oceanography</t>
  </si>
  <si>
    <t>Marine &amp; Freshwater Biology; Oceanography</t>
  </si>
  <si>
    <t>066WW</t>
  </si>
  <si>
    <t>WOS:000239262200022</t>
  </si>
  <si>
    <t>Saborowski, R; Thatje, S; Calcagno, JA; Lovrich, GA; Anger, K</t>
  </si>
  <si>
    <t>Saborowski, R.; Thatje, S.; Calcagno, J. A.; Lovrich, G. A.; Anger, K.</t>
  </si>
  <si>
    <t>Digestive enzymes in the ontogenetic stages of the southern king crab, Lithodes santolla</t>
  </si>
  <si>
    <t>MARINE BIOLOGY</t>
  </si>
  <si>
    <t>EARLY JUVENILE DEVELOPMENT; LECITHOTROPHIC LARVAL DEVELOPMENT; PROTEINASE ACTIVITY; 1782 DECAPODA; CRUSTACEA; ANOMURA; MOLINA; PAGUROIDEA; MEGALOPAL</t>
  </si>
  <si>
    <t>The early ontogenetic stages of the sub-Antarctic king crab Lithodes santolla were analyzed for the presence and activities of a set of important digestive enzymes. The eggs and non-feeding larvae (zoea I-III, megalopa) showed high activities of esterases, phosphatases, and exopeptidases indicating the enzymatic ability to utilize endogeneous yolk reserves. SDS-PAGE showed a continuous decrease of proteins or proteids in the range of 59-81 kDa during ontogenetic development from the eggs through the zoeal stages to the first juvenile crab stage, CI. This reduction reflects the degradation of storage compounds during lecithotrophic larval development. Activities of the endopeptidases, trypsin and chymotrypsin, were low in eggs and larvae but increased significantly in the first juvenile crab stage. These enzymes typically facilitate the first steps of proteolysis in the extra-cellular spaces of the midgut gland and in the stomach. Their scarcity indicates that the larvae of L. santolla are physiologically not prepared to digest external food. This ability seems to appear first in the CI stage. Extracts of juvenile midgut glands and the gastric fluids of adults showed high activities of a variety of digestive enzymes including phosphatases, carbohydrases, as well as endo- and exopeptidases. High activities of digestive enzymes in adults may compensate for scarce food supply and rate-limiting low temperatures in the predominantly sub-Antarctic habitats of L. santolla.</t>
  </si>
  <si>
    <t>Fdn Alfred Wegener Inst Polar &amp; Marine Res, Biol Anstalt Helgoland, D-27498 Helgoland, Germany; Alfred Wegener Inst Polar &amp; Marine Res, D-27515 Bremerhaven, Germany; Univ Southampton, Natl Oceanog Ctr, Southampton SO14 3ZH, Hants, England; Univ Buenos Aires, Fac Sci Exactas &amp; Nat, Consejo Nacl Invest Cientif &amp; Tecn, RA-1428 Buenos Aires, DF, Argentina; Consejo Nacl Invest Cient &amp; Tecn, Ctr Ausral Invest Cientif, CADIC, RA-9410 Ushuaia, Tierra Fuego, Argentina</t>
  </si>
  <si>
    <t>Helmholtz Association; Alfred Wegener Institute, Helmholtz Centre for Polar &amp; Marine Research; Helmholtz Association; Alfred Wegener Institute, Helmholtz Centre for Polar &amp; Marine Research; University of Southampton; NERC National Oceanography Centre; Consejo Nacional de Investigaciones Cientificas y Tecnicas (CONICET); University of Buenos Aires; Consejo Nacional de Investigaciones Cientificas y Tecnicas (CONICET)</t>
  </si>
  <si>
    <t>Saborowski, R (corresponding author), Fdn Alfred Wegener Inst Polar &amp; Marine Res, Biol Anstalt Helgoland, D-27498 Helgoland, Germany.</t>
  </si>
  <si>
    <t>Saborowski, Reinhard/0000-0003-0289-6501; Lovrich, Gustavo/0000-0001-8424-6566</t>
  </si>
  <si>
    <t>0025-3162</t>
  </si>
  <si>
    <t>1432-1793</t>
  </si>
  <si>
    <t>MAR BIOL</t>
  </si>
  <si>
    <t>Mar. Biol.</t>
  </si>
  <si>
    <t>10.1007/s00227-005-0240-x</t>
  </si>
  <si>
    <t>058SC</t>
  </si>
  <si>
    <t>Green Accepted, Green Submitted, Green Published</t>
  </si>
  <si>
    <t>WOS:000238683900015</t>
  </si>
  <si>
    <t>Rogers, AD; Morley, S; Fitzcharles, E; Jarvis, K; Belchier, M</t>
  </si>
  <si>
    <t>Rogers, A. D.; Morley, S.; Fitzcharles, E.; Jarvis, K.; Belchier, M.</t>
  </si>
  <si>
    <t>Genetic structure of Patagonian toothfish (Dissostichus eleginoides) populations on the Patagonian Shelf and Atlantic and western Indian Ocean Sectors of the Southern Ocean</t>
  </si>
  <si>
    <t>ROUGHY HOPLOSTETHUS-ATLANTICUS; MACRURONUS-NOVAEZELANDIAE; MACQUARIE ISLAND; STOCK ASSESSMENT; SEA; GROWTH; FISH; DIET; DIFFERENTIATION; TELEOSTEI</t>
  </si>
  <si>
    <t>The genetic structure of Patagonian toothfish populations in the Atlantic and western Indian Ocean Sectors of the Southern Ocean (SO) were analysed using partial sequences of the mitochondrial 12S rRNA gene and seven microsatellite loci. Both haplotype frequency data (F (ST)&gt; 0.906, P &lt; 0.01) and microsatellite genotype frequency data (F (ST)=0.0141-0.0338, P &lt; 0.05) indicated that populations of toothfish from around the Falkland Islands were genetically distinct from those at South Georgia (eastern Atlantic Sector SO), around Bouvet Island (western Atlantic Sector SO) and the Ob Seamount (western Indian Ocean Sector of the SO). Genetic differentiation between these populations is thought to result from hydrographic isolation, as the sites are separated by two, full-depth, ocean-fronts and topographic isolation, as samples are separated by deep water. The South Georgia, Bouvet and Ob Seamount samples were characterised by an identical haplotype. However, microsatellite genotype frequencies showed genetic differentiation between South Georgia samples and those obtained from around Bouvet Island and nearby seamounts (F (ST)=0.0037, P &lt; 0.05). These areas are separated by large geographic distance and water in excess of 3,000 m deep, below the distributional range of toothfish (&lt; 2,200 m). No significant genetic differentiation was detected between samples around Bouvet Island and the Ob Seamount although comparisons may have been influenced by low sample size. These localities are linked by topographic features, including both ridges and seamounts, that may act as oceanic stepping stones for migration between these populations. As for other species of deep-sea fish, Patagonian toothfish populations are genetically structured at the regional and sub-regional scales.</t>
  </si>
  <si>
    <t>British Antarctic Survey, Natl Environm Res Council, Cambridge CB3 0ET, England; Zool Soc London, Inst Zool, London NW1 4RY, England</t>
  </si>
  <si>
    <t>UK Research &amp; Innovation (UKRI); Natural Environment Research Council (NERC); NERC British Antarctic Survey; Zoological Society of London</t>
  </si>
  <si>
    <t>Rogers, AD (corresponding author), British Antarctic Survey, Natl Environm Res Council, High Cross,Madingley Rd, Cambridge CB3 0ET, England.</t>
  </si>
  <si>
    <t>alex.rogers@ioz.ac.uk</t>
  </si>
  <si>
    <t>Rogers, Alex David/0000-0002-4864-2980</t>
  </si>
  <si>
    <t>NERC [bas010007] Funding Source: UKRI; Natural Environment Research Council [bas010007] Funding Source: researchfish</t>
  </si>
  <si>
    <t>10.1007/s00227-006-0256-x</t>
  </si>
  <si>
    <t>WOS:000238683900019</t>
  </si>
  <si>
    <t>Stepanjants, SD; Cortese, G; Kruglikova, SB; Bjorklund, KR</t>
  </si>
  <si>
    <t>Stepanjants, S. D.; Cortese, G.; Kruglikova, S. B.; Bjorklund, K. R.</t>
  </si>
  <si>
    <t>A review of bipolarity concepts: History and examples from Radiolaria and Medusozoa (Cnidaria)</t>
  </si>
  <si>
    <t>MARINE BIOLOGY RESEARCH</t>
  </si>
  <si>
    <t>biogeography; bipolarity; Medusozoa; Radiolaria</t>
  </si>
  <si>
    <t>PTYCHOGASTRIA-POLARIS ALLMAN; RECENT ANTARCTIC EXPEDITIONS; SURFACE SEDIMENTS; PALEOCEANOGRAPHIC SIGNIFICANCE; POLYCYSTINE RADIOLARIANS; MOLECULAR EVIDENCE; OBELIA CNIDARIA; HYDRA CNIDARIA; SOUTHERN-OCEAN; NORTH-AMERICA</t>
  </si>
  <si>
    <t>Bipolarity, its history and general interpretation are investigated and discussed herein. Apart from the classical view, namely that a bipolar distribution is a peculiar biogeographical phenomenon, we propose that it is ecologically controlled too. This approach was used for bipolarity assessment within the following groups: Phaeodaria, Nassellaria, Spumellaria (Radiolaria) and Medusozoa ( Cnidaria). We recognize 46 bipolar radiolarian species and three radiolarian genera. However, although species concepts in radiolarians are relatively stable and well known, the high-rank taxonomy of radiolarians is still not well defined. Caution should therefore be taken in the interpretation of distribution data at a taxonomic level higher than the species. In the Medusozoa, bipolarity is observed for 23 species and 32 genera. The different ways in which bipolarity can develop are discussed under the different groups, but preference has been given to the recent and most probable routes of migration. In our investigation of the bipolarity phenomenon, we reviewed more than 400 articles dealing with taxonomy, ecology and biogeography of the modern fauna in both groups.</t>
  </si>
  <si>
    <t>Alfred Wegener Inst Polar &amp; Marine Res, Bremerhaven, Germany; Russian Acad Sci, Inst Zool, St Petersburg 199034, Russia; Russian Acad Sci, PP Shirshov Oceanol Inst, Moscow, Russia; Univ Oslo, Dept Geol, Nat Hist Museum, Oslo, Norway</t>
  </si>
  <si>
    <t>Helmholtz Association; Alfred Wegener Institute, Helmholtz Centre for Polar &amp; Marine Research; Russian Academy of Sciences; Zoological Institute of the Russian Academy of Sciences; Russian Academy of Sciences; Shirshov Institute of Oceanology; University of Oslo</t>
  </si>
  <si>
    <t>Cortese, G (corresponding author), Alfred Wegener Inst Polar &amp; Marine Res, Bremerhaven, Germany.</t>
  </si>
  <si>
    <t>gcortese@awi-bremerhaven.de</t>
  </si>
  <si>
    <t>Cortese, Giuseppe/C-8281-2011</t>
  </si>
  <si>
    <t>Cortese, Giuseppe/0000-0003-1780-3371</t>
  </si>
  <si>
    <t>TAYLOR &amp; FRANCIS AS</t>
  </si>
  <si>
    <t>OSLO</t>
  </si>
  <si>
    <t>KARL JOHANS GATE 5, NO-0154 OSLO, NORWAY</t>
  </si>
  <si>
    <t>1745-1000</t>
  </si>
  <si>
    <t>1745-1019</t>
  </si>
  <si>
    <t>MAR BIOL RES</t>
  </si>
  <si>
    <t>Mar. Biol. Res.</t>
  </si>
  <si>
    <t>10.1080/17451000600781767</t>
  </si>
  <si>
    <t>076RM</t>
  </si>
  <si>
    <t>WOS:000239975400005</t>
  </si>
  <si>
    <t>Tribaudino, M</t>
  </si>
  <si>
    <t>Tribaudino, Mario</t>
  </si>
  <si>
    <t>Microtextures and crystal chemistry of pigeonite in the ureilites ALHA77257, RKPA80239, Y-791538, and ALHA81101</t>
  </si>
  <si>
    <t>TRANSMISSION ELECTRON-MICROSCOPE; FE2+-MG ORDER-DISORDER; ORTHO-PYROXENE; ANTARCTIC UREILITES; PHASE-TRANSITION; THERMAL HISTORY; COOLING RATES; FE; CLINOPYROXENE; MINERALOGY</t>
  </si>
  <si>
    <t>The microtextures of pigeonite in four ureilites, Allan Hills (ALH) 77257, Reckling Peak (RKP) A80239, Yamato (Y-) 791538, and Allan Hills A81101, chosen to span a range of composition and shock level, were investigated by transmission electron microscopy (TEM); two of the samples were also investigated by single crystal X-ray diffraction to determine Fe2+-Mg cation site partitioning. The low-shock and compositionally homogeneous pigeonites in ALHA77257 and RKPA80329 (Wo 6.4 for both, mg 86.3 and 84.3 respectively) display irregularly spaced, shock-induced stacking faults oriented parallel to (100), and large antiphase domains (50-100 nm). Antiphase domains have no preferential orientation. No evidence of exsolution was observed. The low-shock Y-791538 pigeonite is homogeneous and has higher Ca and mg (Wo 9.4, mg 91.2). TEM investigation showed spinodal decomposition, indicative of incipient exsolution; small antiphase domains were observed (approximate to 5 nm). Single crystal refinement yielded R-4 sigma = 5.71%, with Fe2+-Mg partitioning coefficient k(D) = 0.077(8) and T-c = 658(35)degrees C. ALHA81101 has compositionally heterogeneous pyroxenes, with large local variations in Wo and mg (Wo = 4-13, mg = 86-68). No compositional gradients from core to rim of grains were observed, and the heterogeneity is interpreted as related to cation migration during shock. In one relatively Ca-rich region (Wo approximate to 12), TEM analysis showed augite-pigeonite exsolution lamellae, with spacing 145(20) nm. Results for ALHA77257, RKPA80239, and Y-791538 support a model of rapid cooling following breakup of the ureilite parent body. The presence of exsolution lamellae in ALHA81101 can be related to a local shock-induced Ca enrichment and provides no constraint on the late cooling history.</t>
  </si>
  <si>
    <t>Univ Parma, Dipartimento Sci Terra, I-43100 Parma, Italy</t>
  </si>
  <si>
    <t>University of Parma</t>
  </si>
  <si>
    <t>Tribaudino, M (corresponding author), Univ Parma, Dipartimento Sci Terra, Parco Area Sci 157-A, I-43100 Parma, Italy.</t>
  </si>
  <si>
    <t>mario.tribaudino@unipr.it</t>
  </si>
  <si>
    <t>Tribaudino, Mario/AAF-9164-2019; Tribaudino, Mario/ISR-8817-2023</t>
  </si>
  <si>
    <t>Tribaudino, Mario/0000-0003-4941-2914; Tribaudino, Mario/0000-0003-4941-2914</t>
  </si>
  <si>
    <t>10.1111/j.1945-5100.2006.tb00498.x</t>
  </si>
  <si>
    <t>068CL</t>
  </si>
  <si>
    <t>WOS:000239349400001</t>
  </si>
  <si>
    <t>Welten, KC; Nishiizumi, K; Caffee, MW; Hillegonds, DJ; Johnson, JA; Julli, AJT; Wieler, R; Folco, L</t>
  </si>
  <si>
    <t>Welten, K. C.; Nishiizumi, K.; Caffee, M. W.; Hillegonds, D. J.; Johnson, J. A.; Julli, A. J. T.; Wieler, R.; Folco, L.</t>
  </si>
  <si>
    <t>Terrestrial ages, pairing, and concentration mechanism of Antarctic chondrites from Frontier Mountain, Northern Victoria Land</t>
  </si>
  <si>
    <t>RAY-EXPOSURE HISTORY; PRODUCTION-RATES; H-CHONDRITES; COSMOGENIC NUCLIDES; IRON-METEORITES; AMS STANDARDS; NOBLE-GASES; ICE; CA-41</t>
  </si>
  <si>
    <t>We report concentrations of cosmogenic Be-10, Al-26, Cl-36, and Ca-41 in the metal phase of 26 ordinary chondrites from Frontier Mountain (FRO), Antarctica, as well as cosmogenic C-14 in eight and noble gases in four bulk samples. Thirteen out of 14 selected H chondrites belong to two previously identified pairing groups, FRO 90001 and FRO 90174, with terrestrial ages of similar to 40 and similar to 100 kyr, respectively. The FRO 90174 shower is a heterogeneous H3-6 chondrite breccia that probably includes more than 300 individual fragments, explaining the high H/L chondrite ratio (3.8) at Frontier Mountain. The geographic distribution of 19 fragments of this shower constrains ice fluctuations over the past 50-100 kyr to less than similar to 40 m, supporting the stability of the meteorite trap over the last glacial cycle. The second H-chondrite pairing group, FRO 90001, is much smaller and its geographic distribution is mainly controlled by wind-transport. Most L-chondrites are younger than 50 kyr, except for the FRO 93009/01172 pair, which has a terrestrial age of similar to 500 kyr. These two old L chondrites represent the only surviving members of a large shower with a similar preatmospheric radius (similar to 80 cm) as the FRO 90174 shower. The find locations of these two paired L-chondrite fragments on opposite sides of Frontier Mountain confirm the general glaciological model in which the two ice flows passing both ends of the mountain are derived from the same source area on the plateau. The 50 FRO meteorites analyzed so far represent 21 different falls. The terrestrial ages range from 6 kyr to 500 kyr, supporting the earlier proposed concentration mechanism.</t>
  </si>
  <si>
    <t>Univ Calif Berkeley, Space Sci Lab, Berkeley, CA 94720 USA; Lawrence Livermore Natl Lab, Ctr Accelerator Mass Spectr, Livermore, CA 94550 USA; Univ Arizona, NSF Arizona Accelerator Mass Spectr Facil, Tucson, AZ 85721 USA; Swiss Fed Inst Technol, CH-8092 Zurich, Switzerland; Univ Siena, Museo Nazl Antartide, I-53100 Siena, Italy; Purdue Univ, Dept Phys, W Lafayette, IN 47907 USA</t>
  </si>
  <si>
    <t>University of California System; University of California Berkeley; United States Department of Energy (DOE); Lawrence Livermore National Laboratory; University of Arizona; Swiss Federal Institutes of Technology Domain; ETH Zurich; University of Siena; Purdue University System; Purdue University</t>
  </si>
  <si>
    <t>Welten, KC (corresponding author), Univ Calif Berkeley, Space Sci Lab, Berkeley, CA 94720 USA.</t>
  </si>
  <si>
    <t>kcwelten@berkeley.edu</t>
  </si>
  <si>
    <t>Wieler, Rainer/A-1355-2010; Folco, Luigi/AAA-6351-2020; Folco, Luigi/AAB-8586-2021</t>
  </si>
  <si>
    <t>Folco, Luigi/0000-0002-7276-3483; Welten, Kees/0000-0001-8577-6753; Wieler, Rainer/0000-0001-5666-7494</t>
  </si>
  <si>
    <t>10.1111/j.1945-5100.2006.tb00506.x</t>
  </si>
  <si>
    <t>WOS:000239349400009</t>
  </si>
  <si>
    <t>Nozaki, W; Nakamura, T; Noguchi, T</t>
  </si>
  <si>
    <t>Nozaki, Wataru; Nakamura, Tornoki; Noguchi, Takaaki</t>
  </si>
  <si>
    <t>Bulk mineralogical changes of hydrous micrometeorites during heating in the upper atmosphere at temperatures below 1000°C</t>
  </si>
  <si>
    <t>INTERPLANETARY DUST PARTICLES; TRANSMISSION ELECTRON-MICROSCOPY; RAY-DIFFRACTION ANALYSIS; CARBONACEOUS CHONDRITE; ACCRETION RATE; TAGISH LAKE; ANTARCTIC MICROMETEORITES; METEORITES; ENTRY; OLIVINE</t>
  </si>
  <si>
    <t>Small particles 200 mu m in diameter from the hydrous carbonaceous chondrites Orgueil Cl, Murchison CM2, and Tagish Lake were experimentally heated for short durations at subsolidus temperatures under controlled ambient pressures in order to examine the bulk mineralogical changes of hydrous micrometeorites during atmospheric entry. The three primitive meteorites consist mainly of various phyllosilicates and carbonates that are subject to decomposition at low temperatures, and thus the brief heating up to 1000 degrees C drastically changed the mineralogy. Changes included shrinkage of interlayer spacing of saponite due to loss of molecular water at 400-600 degrees C, serpentine and saponite decomposition to amorphous phases at 600 and 700 degrees C, respectively, decomposition of MgFe carbonate at 600 degrees C, recrystallization of secondary olivine and Fe oxide or metal at 700-800 degrees C, and recrystallization of secondary low-Ca pyroxene at 800 degrees C. The ambient atmospheric pressures controlled species of secondary Fe phase: taenite at pressures lower than 10(-2) torr, magnesiowustite from 10(-3) to 10(-1) torr, and magnetite from 10(-2) to I torr. The abundance of secondary low-Ca pyroxene increases in the order of Murchison, Orgueil, and Tagish Lake, and the order corresponds to saponite abundance in samples prior to heating. Mineralogy of the three unmelted micrometeorites F96CI024, kw740052, and kw740054 were investigated in detail in order to estimate heating conditions. The results showed that they might have come from different parental objects, carbonate-rich Tagish Lake type, carbonate-poor Tagish Lake or Cl type, and CM type, respectively, and experienced different peak temperatures, 600, 700, and 800-900 degrees C, respectively, at 60-80 km altitude upon atmospheric entry.</t>
  </si>
  <si>
    <t>Kyushu Univ, Fac Sci, Dept Earth &amp; Planetary Sci, Fukuoka 8128581, Japan; Ibaraki Univ, Fac Sci, Mito, Ibaraki 3108512, Japan</t>
  </si>
  <si>
    <t>Kyushu University; Ibaraki University</t>
  </si>
  <si>
    <t>Nozaki, W (corresponding author), Kyushu Univ, Fac Sci, Dept Earth &amp; Planetary Sci, 33 Hakozaki, Fukuoka 8128581, Japan.</t>
  </si>
  <si>
    <t>tomoki@geo.kyushu-u.ac.jp</t>
  </si>
  <si>
    <t>Noguchi, Takaaki/IWV-1123-2023</t>
  </si>
  <si>
    <t>Noguchi, Takaaki/0000-0001-7211-2595</t>
  </si>
  <si>
    <t>10.1111/j.1945-5100.2006.tb00507.x</t>
  </si>
  <si>
    <t>WOS:000239349400010</t>
  </si>
  <si>
    <t>Riddle, KW</t>
  </si>
  <si>
    <t>Riddle, Kevin W.</t>
  </si>
  <si>
    <t>Illegal, unreported, and unregulated fishing: Is international cooperation contagious?</t>
  </si>
  <si>
    <t>OCEAN DEVELOPMENT AND INTERNATIONAL LAW</t>
  </si>
  <si>
    <t>China; Commission for the Conservation of Antarctic Marine Living; Resources; illegal; unreported; and unregulated fishing; International Commission for the Conservation of Atlantic Tuna; International Plan of Action to Deter; Prevent and Eliminate Illegal; Unreported and Unregulated Fishing; North Pacific Anadromous Fish Commission; regional fishery management organization; South Pacific Forum Fisheries Agency; toothfish</t>
  </si>
  <si>
    <t>Illegal, unreported, and unregulated ( IUU) Fishing is considered a major threat to high seas fish stocks. Each of the the international regional fishery management organizations ( RFMOs) are combating some form of IUU fishing and this led the Food and Agriculture Oranization of the United Nations ( FAO) to adopt the International Plan of Action to Deter, Prevent and Eliminate IUU Fishing ( IPOA-IUU). This article will analyze the issues involved with IUU fishing, examine the recommendations in the IPOA, and consider examples of successful management and enforcement measures in use by states and RFMOs. Finally, recent developments in China will be viewed as an example of how international cooperation is contagious.</t>
  </si>
  <si>
    <t>US Dept State, Off Marine Conservat, Washington, DC 20520 USA</t>
  </si>
  <si>
    <t>Riddle, KW (corresponding author), 6307 Fur Seal Court, Waldorf, MD 20603 USA.</t>
  </si>
  <si>
    <t>KevRiddle@verizon.net</t>
  </si>
  <si>
    <t>TAYLOR &amp; FRANCIS INC</t>
  </si>
  <si>
    <t>PHILADELPHIA</t>
  </si>
  <si>
    <t>530 WALNUT STREET, STE 850, PHILADELPHIA, PA 19106 USA</t>
  </si>
  <si>
    <t>0090-8320</t>
  </si>
  <si>
    <t>1521-0642</t>
  </si>
  <si>
    <t>OCEAN DEV INT LAW</t>
  </si>
  <si>
    <t>Ocean Dev. Int. Law</t>
  </si>
  <si>
    <t>JUL-DEC</t>
  </si>
  <si>
    <t>10.1080/00908320600800929</t>
  </si>
  <si>
    <t>International Relations; Law</t>
  </si>
  <si>
    <t>International Relations; Government &amp; Law</t>
  </si>
  <si>
    <t>066NG</t>
  </si>
  <si>
    <t>WOS:000239235900001</t>
  </si>
  <si>
    <t>Ivanov, YA; Anisimov, MV; Subbotina, MM</t>
  </si>
  <si>
    <t>Ivanov, Yu. A.; Anisimov, M. V.; Subbotina, M. M.</t>
  </si>
  <si>
    <t>Seasonal variability of the water circulation in the southern ocean and heat, salt, and mass exchange in the Antarctic region and adjacent oceans</t>
  </si>
  <si>
    <t>OCEANOLOGY</t>
  </si>
  <si>
    <t>WORLD OCEAN; 2-DIMENSIONAL MODEL; INTERMEDIATE WATER; THERMOHALINE; CLIMATE; FRONT</t>
  </si>
  <si>
    <t>The hydrographic fields in the Arctic region are calculated with a three-dimensional nonlinear model of the general circulation in the World Ocean using climatic databases on temperature, salinity, and wind stress. The calculation results show that the seasonal variability of the fields is negligible. The salinity distribution almost does not change from season to season, and slight temperature differences are found only in the upper layer. In the winter period, a moderate intensification of the currents is observed. The formation of an intermediate low-salinity layer is revealed at the Subantarctic front, where the intensive turbulence and transverse circulation in the Antarctic Circumpolar Current near the front result in the sinking of the surface low-salinity waters down to intermediate depths. The low-salinity water propagates in the oceans at intermediate depths northward from the front by advection. The integral values of the seasonal transport of mass, heat, and salt in various sections are presented in tables, and the distributions of appropriate characteristics in these sections are shown in figures. According to the calculations, the highest seasonal variations of heat, salt, and mass exchange in the Antarctic region and adjacent oceans are found in the Atlantic sector.</t>
  </si>
  <si>
    <t>Russian Acad Sci, PP Shirshov Oceanol Inst, Moscow, Russia</t>
  </si>
  <si>
    <t>Ivanov, YA (corresponding author), Russian Acad Sci, PP Shirshov Oceanol Inst, Moscow, Russia.</t>
  </si>
  <si>
    <t>0001-4370</t>
  </si>
  <si>
    <t>OCEANOLOGY+</t>
  </si>
  <si>
    <t>Oceanology</t>
  </si>
  <si>
    <t>10.1134/S0001437006040023</t>
  </si>
  <si>
    <t>156MH</t>
  </si>
  <si>
    <t>WOS:000245652200002</t>
  </si>
  <si>
    <t>Campbell, IB; Claridge, GGC</t>
  </si>
  <si>
    <t>Campbell, Iain B.; Claridge, Graeme G. C.</t>
  </si>
  <si>
    <t>Permafrost properties, patterns and processes in the transantarctic mountains region</t>
  </si>
  <si>
    <t>PERMAFROST AND PERIGLACIAL PROCESSES</t>
  </si>
  <si>
    <t>Antarctic; permafrost types; permafrost properties; permafrost distribution; solar energy</t>
  </si>
  <si>
    <t>MCMURDO DRY VALLEYS; METAL CONTAMINATION; ANTARCTIC SOILS; TAYLOR VALLEY; WRIGHT VALLEY; VICTORIA LAND; SOUND REGION; ENVIRONMENT; STABILITY; SALTS</t>
  </si>
  <si>
    <t>The properties, distribution patterns and thermal processes that influence the active layer and permafrost in the Transantarctic Mountains region of Antarctica, as deduced from our soil investigations since 1964 and drilling investigations since 1990, are outlined. The active layer depth varies from around 80 cm thick in coastal areas to &lt;5 cm in inland and upland regions, due to the effect of the adiabatic lapse rate. Saline, ice-bonded, dry permafrost and transitional types of permafrost all occur. Ice content is highest in ice-bonded permafrost of the coastal regions and lowest in inland dry permafrost where values may be &lt;1%. At the regional scale, ice-bonded permafrost most commonly occurs at lower elevations and beneath younger land surfaces but with increasing elevation, distance inland and land surface age, dry permafrost becomes predominant. At the local scale (&lt;1 m) there are large variations in the depth to the permafrost table due to variations in ground surface features. Permafrost properties are largely governed by solar energy receipt, but albedo, air temperature cooling and available soil moisture strongly modulate the conversion of solar energy receipt into soil heating. These factors account for the considerable broad-scale and local variability in permafrost properties that exists. Copyright (C) 2006 John Wiley &amp; Sons, Ltd.</t>
  </si>
  <si>
    <t>Land &amp; Soil Consultancy Serv, Stoke 7001, Nelson, New Zealand</t>
  </si>
  <si>
    <t>Campbell, IB (corresponding author), Land &amp; Soil Consultancy Serv, 23 View Mt, Stoke 7001, Nelson, New Zealand.</t>
  </si>
  <si>
    <t>iaincampbell@xtra.co.nz</t>
  </si>
  <si>
    <t>1045-6740</t>
  </si>
  <si>
    <t>1099-1530</t>
  </si>
  <si>
    <t>PERMAFROST PERIGLAC</t>
  </si>
  <si>
    <t>Permafrost Periglacial Process.</t>
  </si>
  <si>
    <t>JUL-SEP</t>
  </si>
  <si>
    <t>10.1002/ppp.557</t>
  </si>
  <si>
    <t>Geography, Physical; Geology</t>
  </si>
  <si>
    <t>087MY</t>
  </si>
  <si>
    <t>WOS:000240747700002</t>
  </si>
  <si>
    <t>Diaz, S; Camilión, C; Deferrari, G; Fuenzalida, H; Armstrong, R; Booth, C; Paladini, A; Cabrera, S; Casiccia, C; Lovengreen, C; Pedroni, J; Rosales, A; Zagarese, H; Vernet, M</t>
  </si>
  <si>
    <t>Diaz, S.; Camilion, C.; Deferrari, G.; Fuenzalida, H.; Armstrong, R.; Booth, C.; Paladini, A.; Cabrera, S.; Casiccia, C.; Lovengreen, C.; Pedroni, J.; Rosales, A.; Zagarese, H.; Vernet, M.</t>
  </si>
  <si>
    <t>Ozone and UV radiation over southern South America:: Climatology and anomalies</t>
  </si>
  <si>
    <t>PHOTOCHEMISTRY AND PHOTOBIOLOGY</t>
  </si>
  <si>
    <t>ULTRAVIOLET-RADIATION; SOLAR; NETWORK; IRRADIANCE; CLOUDS</t>
  </si>
  <si>
    <t>Ozone and UV radiation were analyzed at eight stations from tropical to sub-Antarctic regions in South America. Ground UV irradiances were measured by multichannel radiometers as part of the Inter American Institute for Global Change Radiation network. The irradiance channels used for this study were centered at 305 nm (for UV-B measurements) and 340 nm (for UV-A measurements). Results were presented as daily maximum irradiances, as monthly averaged, daily integrated irradiances and as the ratio of 305 nm to 340 nm. These findings are the first to be based on a long time series of semispectral data from the southern region of South America. As expected, the UV-B channel and total column ozone varied with latitude. The pattern of the UV-A channel was more complex because of local atmospheric conditions. Total column ozone levels of &lt; 220 Dobson Units were observed at all sites. Analysis of autocorrelations showed a larger persistence of total column ozone level than irradiance. A decreasing cross-correlation coefficient between 305 and 340 nm and an increasing cross-correlation coefficient between 305 nm and ozone were observed at higher latitudes, indicating that factors such as cloud cover tend to dominate at northern sites and that ozone levels tend to dominate at southern sites. These results highlight the value of long-term monitoring of radiation with multichannel radiometers to determine climatological data and evaluate the combination of factors affecting ground UV radiation.</t>
  </si>
  <si>
    <t>Consejo Nacl Invest Cient &amp; Tecn, Ctr Austral Invest Cient, Ushuaia, Argentina; Inter Amer Inst Global Change, Ctr Austral Invest Cient, Natl Sci Fdn, Ushuaia, Argentina; Univ Chile, Santiago, Chile; Univ Puerto Rico, Lajas, PR USA; Biospher Inc, San Diego, CA USA; Consejo Nacl Invest Cient &amp; Tecn, Inst Invest Ingn Genet &amp; Biol Mol, Buenos Aires, DF, Argentina; Univ Austral Chile, Valdivia, Chile; Univ Patagonia San Juan Bosco, Trelew, Argentina; Univ Nacl Gen San Martin, Consejo Nacl Invest Cient &amp; Tecn, Inst Tecnol Chascomus, Chascomus, Argentina; Univ Calif San Diego, Scripps Inst Oceanog, Integrat Oceanog Div, La Jolla, CA 92093 USA</t>
  </si>
  <si>
    <t>Consejo Nacional de Investigaciones Cientificas y Tecnicas (CONICET); Universidad de Chile; University of Puerto Rico; University of Puerto Rico Mayaguez; Consejo Nacional de Investigaciones Cientificas y Tecnicas (CONICET); Universidad Austral de Chile; Consejo Nacional de Investigaciones Cientificas y Tecnicas (CONICET); University of California System; University of California San Diego; Scripps Institution of Oceanography</t>
  </si>
  <si>
    <t>Diaz, S (corresponding author), Consejo Nacl Invest Cient &amp; Tecn, Ctr Austral Invest Cient, Ushuaia, Argentina.</t>
  </si>
  <si>
    <t>subediaz@speedy.com.ar</t>
  </si>
  <si>
    <t>Zagarese, Horacio/0000-0001-6588-5960; Armstrong, Roy/0000-0002-8748-8787</t>
  </si>
  <si>
    <t>0031-8655</t>
  </si>
  <si>
    <t>1751-1097</t>
  </si>
  <si>
    <t>PHOTOCHEM PHOTOBIOL</t>
  </si>
  <si>
    <t>Photochem. Photobiol.</t>
  </si>
  <si>
    <t>10.1562/2005-09-26-RA-697</t>
  </si>
  <si>
    <t>Biochemistry &amp; Molecular Biology; Biophysics</t>
  </si>
  <si>
    <t>078FR</t>
  </si>
  <si>
    <t>WOS:000240088300003</t>
  </si>
  <si>
    <t>Hernando, M; Schloss, I; Roy, S; Ferreyra, G</t>
  </si>
  <si>
    <t>Hernando, Marcelo; Schloss, Irene; Roy, Suzanne; Ferreyra, Gustavo</t>
  </si>
  <si>
    <t>Photoacclimation to long-term ultraviolet radiation exposure of natural sub-antarctic phytoplankton communities: Fixed surface incubations versus mixed mesocosms</t>
  </si>
  <si>
    <t>UV-B RADIATION; MARINE-PHYTOPLANKTON; AMINO-ACIDS; PHOTOSYSTEM-II; OXIDATIVE STRESS; LAKE TITICACA; DNA-DAMAGE; PHOTOSYNTHESIS; PHOTOINHIBITION; CHLOROPHYLL</t>
  </si>
  <si>
    <t>Solar UVB radiation (280-320 nm) is known to have detrimental effects on marine phytoplankton. Associated with the seasonal ozone hole in Antarctica, stratospheric ozone depletion occasionally influences the sub-Antarctic (Beagle Channel, Argentina) region, enhancing levels of UVB. The primary objective of this work was to study the effects of several (i.e. 6-10) days of exposure to UVB on the taxonomic composition and photosynthetic inhibition of local phytoplankton communities. For different light treatments, fixed-depth incubations placed in an outdoors water tank were compared with incubations in 1900 L mesocosms, where vertical mixing was present. Phytoplankton growth was inhibited by UV radiation (UVR) in fixed-depth experiments but not in the mixed mesocosms. Under fixed and mixed conditions alike, photosynthesis was significantly inhibited by UVB at the beginning of the experiment but no longer after several days of exposure, suggesting that cells had acclimated to radiation conditions. There was a change in species composition in response to UVR exposure in both experiments, which likely explained acclimation. In the community exposed to fixed conditions this change was from a phytoflagellate-dominated assemblage to a community with high relative abundance of diatoms after 6 days of exposure. UVA was responsible for most of the observed growth inhibition; however, the reduction in photosynthesis was produced by UVB. The reasons behind this variability in responses to UVR are associated with species-specific sensitivity and acclimation, and the previous light history of cells. In the community exposed in mesocosms, an assemblage codominated by phytoflagellates and diatoms was observed at the beginning of the experiments. After 10 days of exposure, green algae (Eutreptiella sp.) had increased, and phytoflagellates were the dominant group. The synthesis of mycosporine-like amino acids (MAAs), antioxidant enzymes and photosynthetic antenna pigments, in relation to repair and protection processes, may explain the reduced inhibition of both growth and photosynthesis that was observed in the phytoplankton community after several days of exposure. For environments such as the Beagle Channel seasonally exposed to the ozone hole, the results obtained from the fixed-depth experiments show that species can cope with UVR by means of MAA synthesis, while mixing would primarily promote a change in species composition and defense strategies.</t>
  </si>
  <si>
    <t>Consejo Nacl Invest Cient &amp; Tecn, RA-1033 Buenos Aires, DF, Argentina; Inst Antartico Argentino, RA-1010 Buenos Aires, DF, Argentina; Univ Quebec, ISMER, Rimouski, PQ G5L 3A1, Canada</t>
  </si>
  <si>
    <t>Consejo Nacional de Investigaciones Cientificas y Tecnicas (CONICET); Instituto Antartico Argentino; University of Quebec</t>
  </si>
  <si>
    <t>Hernando, M (corresponding author), Consejo Nacl Invest Cient &amp; Tecn, RA-1033 Buenos Aires, DF, Argentina.</t>
  </si>
  <si>
    <t>hernandom@ciudad.com.ar</t>
  </si>
  <si>
    <t>Schloss, Irene R./U-5411-2018</t>
  </si>
  <si>
    <t>Schloss, Irene R./0000-0002-5917-8925; Ferreyra, Gustavo Adolfo/0000-0003-1953-5067</t>
  </si>
  <si>
    <t>10.1562/2005-08-29-RA-662</t>
  </si>
  <si>
    <t>WOS:000240088300013</t>
  </si>
  <si>
    <t>Alvarez-Muñiz, J; Marqués, E; Vázquez, RA; Zas, E</t>
  </si>
  <si>
    <t>Alvarez-Muniz, Jaime; Marques, Enrique; Vazquez, Ricardo A.; Zas, Enrique</t>
  </si>
  <si>
    <t>Coherent radio pulses from showers in different media:: A unified parametrization</t>
  </si>
  <si>
    <t>PHYSICAL REVIEW D</t>
  </si>
  <si>
    <t>ULTRAHIGH-ENERGY NEUTRINOS; ELECTROMAGNETIC CASCADES; COSMIC NEUTRINOS; CONDENSED MEDIA; PAIR PRODUCTION; ANTARCTIC ICE; DETECTORS; LEAD; BREMSSTRAHLUNG; TELESCOPE</t>
  </si>
  <si>
    <t>We study the frequency and angular dependences of Cherenkov radio pulses originated by the excess of electrons in electromagnetic showers in different dense media that are being given consideration as targets for ultra high energy neutrino detection such as ice, salt and the lunar regolith. By means of a simple model of shower development we rederive the scaling of the electric field spectrum with the properties of the media such as density, radiation length, Moliere radius, critical energy and refraction index. We compare the predictions of the scaling relations to the numerical results obtained in our own developed GEANT4-based Monte Carlo simulation, and address in a quantitative manner the predictive power of the scaling relations. We also give a unified parametrization of the frequency spectrum and angular distribution of the electric field in ice, salt, and the lunar regolith, in terms of the relevant properties of the media to be used in practical applications. We establish the applicability of our parametrizations. Our formulas are useful for estimates of the acceptance of current and future neutrino detectors using the radio technique, and for many other practical applications.</t>
  </si>
  <si>
    <t>Univ Santiago de Compostela, Dept Fis Particulas, E-15782 Santiago De Compostela, Spain; Univ Santiago de Compostela, Inst Galego Fis Altas Enerxias, E-15782 Santiago De Compostela, Spain</t>
  </si>
  <si>
    <t>Universidade de Santiago de Compostela; Universidade de Santiago de Compostela</t>
  </si>
  <si>
    <t>Alvarez-Muñiz, J (corresponding author), Univ Santiago de Compostela, Dept Fis Particulas, E-15782 Santiago De Compostela, Spain.</t>
  </si>
  <si>
    <t>Vazquez, Jose Ramon J. R./K-2272-2015; Alvarez-Muniz, Jaime/H-1857-2015; Zas, Enrique/I-5556-2015</t>
  </si>
  <si>
    <t>Alvarez-Muniz, Jaime/0000-0002-2367-0803; Zas, Enrique/0000-0002-4430-8117; Vazquez Lopez, Ricardo/0000-0003-4025-5262</t>
  </si>
  <si>
    <t>AMER PHYSICAL SOC</t>
  </si>
  <si>
    <t>COLLEGE PK</t>
  </si>
  <si>
    <t>ONE PHYSICS ELLIPSE, COLLEGE PK, MD 20740-3844 USA</t>
  </si>
  <si>
    <t>1550-7998</t>
  </si>
  <si>
    <t>1550-2368</t>
  </si>
  <si>
    <t>PHYS REV D</t>
  </si>
  <si>
    <t>Phys. Rev. D</t>
  </si>
  <si>
    <t>10.1103/PhysRevD.74.023007</t>
  </si>
  <si>
    <t>Astronomy &amp; Astrophysics; Physics, Particles &amp; Fields</t>
  </si>
  <si>
    <t>Astronomy &amp; Astrophysics; Physics</t>
  </si>
  <si>
    <t>070HH</t>
  </si>
  <si>
    <t>WOS:000239512000014</t>
  </si>
  <si>
    <t>Cooper, MH; Iverson, SJ; Rouvinen-Watt, K</t>
  </si>
  <si>
    <t>Cooper, Margaret H.; Iverson, Sara J.; Rouvinen-Watt, Kirsti</t>
  </si>
  <si>
    <t>Metabolism of dietary cetoleic acid (22:1n-11) in mink (Mustela vison) and gray seals (Halichoerus grypus) studied using radiolabeled fatty acids</t>
  </si>
  <si>
    <t>PHYSIOLOGICAL AND BIOCHEMICAL ZOOLOGY</t>
  </si>
  <si>
    <t>HYDROGENATED MARINE OIL; SOUTHERN ELEPHANT SEALS; SCOPHTHALMUS-MAXIMUS L; PRINCE-WILLIAM-SOUND; ANTARCTIC FUR SEALS; BODY-COMPOSITION; ETHYL-ESTERS; RAPESEED OIL; ERUCIC-ACID; RAT-LIVER</t>
  </si>
  <si>
    <t>Cetoleic acid (22:1n-11) is a good indicator of diet in marine predators and has proven to be an important fatty acid (FA) when using adipose tissue FA composition to study diet in marine mammals and seabirds. Feeding studies have shown that 22:1 isomers are predictably underrepresented in adipose tissue relative to diet, implying that metabolism within the predator strongly influences the relationship between the level of these FAs in diet and adipose tissue. Fully understanding such metabolic processes for individual FAs is important for the quantitative estimation of predator diets. We employed a dual-label radioisotope tracer technique to investigate the potential modification of 22:1n-11 and its recovery in the blubber of gray seals (Halichoerus grypus) and in the adipose tissue and liver of mink (Mustela vison), a smaller model carnivore also accustomed to fish-based diets. In both seals and mink, H-3 radioactivity was found in the chain-shortened products of 22:1n-11, with 18:1 being the dominant product. We also found H-3 radioactivity in saturated FAs. The distribution patterns of H-3 radioactivity across the FAs isolated from seal blubber and mink subcutaneous adipose tissue were comparable, indicating that mink are a good model for the investigation of lipid metabolism in marine carnivores.</t>
  </si>
  <si>
    <t>Dalhousie Univ, Dept Biol, Halifax, NS B3H 4J1, Canada; Nova Scotia Agr Coll, Dept Anim &amp; Plant Sci, Truro, NS B2N 5E3, Canada</t>
  </si>
  <si>
    <t>Dalhousie University; Dalhousie University</t>
  </si>
  <si>
    <t>Cooper, MH (corresponding author), Dalhousie Univ, Dept Biol, Halifax, NS B3H 4J1, Canada.</t>
  </si>
  <si>
    <t>mhcooper@dal.ca</t>
  </si>
  <si>
    <t>Iverson, Sara/0000-0003-2842-4094</t>
  </si>
  <si>
    <t>UNIV CHICAGO PRESS</t>
  </si>
  <si>
    <t>CHICAGO</t>
  </si>
  <si>
    <t>1427 E 60TH ST, CHICAGO, IL 60637-2954 USA</t>
  </si>
  <si>
    <t>1522-2152</t>
  </si>
  <si>
    <t>1537-5293</t>
  </si>
  <si>
    <t>PHYSIOL BIOCHEM ZOOL</t>
  </si>
  <si>
    <t>Physiol. Biochem. Zool.</t>
  </si>
  <si>
    <t>10.1086/505513</t>
  </si>
  <si>
    <t>Physiology; Zoology</t>
  </si>
  <si>
    <t>062EJ</t>
  </si>
  <si>
    <t>WOS:000238927100015</t>
  </si>
  <si>
    <t>Brickle, P; Arkhipkin, A; Shcherbich, Z</t>
  </si>
  <si>
    <t>Age and growth of a sub-Antarctic notothenioid, Patagonotothen ramsayi (Regan 1913), from the Falkland Islands</t>
  </si>
  <si>
    <t>MIGRATIONS; PRECISION; HABITS; SHELF; DIET</t>
  </si>
  <si>
    <t>The Falklands' rockcod Patagonotothen ramsayi was aged successfully using whole and sectioned otoliths. Marginal increment analysis showed that one opaque and one translucent zone were laid down each year. Counting daily rings in juvenile fish and back calculating to their assumed hatch dates validated the first annulus. Readings taken from scales and otoliths showed good agreement with no significant difference between them (P &gt; 0.05). Inter- and intra-reader comparisons also showed good agreement. The maximum estimated age was found to be 14 years and the calculated von Bertalanffy growth curve L-T =33.77(1-e (-0.25year(t+1.07))) showed that P. ramsayi is a relatively slow growing fish that attains 5-6 cm L-T in its first year and after which grows approximately 3 cm per year until 4 years. Males seemed to have a slightly lower growth rate but attained a greater maximum size than females. The formation of annuli in the otoliths of P. ramsayi seems to coincide with periods of high reproductive activity with both peaks in GSI and the prevalence of translucent margins occurring in July.</t>
  </si>
  <si>
    <t>Falkland Isl Govt Fisheries Dept, Stanley, Falkland Isl, England</t>
  </si>
  <si>
    <t>Brickle, P (corresponding author), Falkland Isl Govt Fisheries Dept, POB 598, Stanley, Falkland Isl, England.</t>
  </si>
  <si>
    <t>pbrickle@.sheries.gov.fk</t>
  </si>
  <si>
    <t>10.1007/s00300-005-0099-9</t>
  </si>
  <si>
    <t>059EJ</t>
  </si>
  <si>
    <t>WOS:000238715800001</t>
  </si>
  <si>
    <t>Nkem, JN; Virginia, RA; Barrett, JE; Wall, DH; Li, G</t>
  </si>
  <si>
    <t>Nkem, J. N.; Virginia, R. A.; Barrett, J. E.; Wall, D. H.; Li, G.</t>
  </si>
  <si>
    <t>Salt tolerance and survival thresholds for two species of Antarctic soil nematodes</t>
  </si>
  <si>
    <t>MCMURDO DRY VALLEYS; SOUTHERN VICTORIA LAND; TAYLOR VALLEY; BIODIVERSITY; ENVIRONMENT; WATER; INVERTEBRATES; SENSITIVITY; DIVERSITY; REGION</t>
  </si>
  <si>
    <t>We evaluated the response of the Antarctic soil nematodes Scottnema lindsayae and Plectus antarcticus to various salts (NaCl, MgSO4, KNO3 and NaCl + MgSO4) and salt concentrations in prepared salt solutions ranging from 0.1 to 3 M, and in saturation paste extracts of soils collected from multiple locations where nematode abundance varied from zero to numerous, and where electrical conductivity ranged from 108 to &gt; 12,000 mu S/cm. Nematode salt tolerance was salt specific; both nematode species survived in low-experimental concentrations of NaCl and MgSO4, and neither species survived in KNO3 solutions of any concentration. There was no survival of nematodes in the saturation paste extracts of highly saline soils (4,100 mu S/cm), while survival was over 80-97% in less saline soils (1,945 mu S/cm). A 1:1 dilution of these highly saline saturation paste extracts increased S. lindsayae survival to 80%, while survival of P. antarcticus was not observed until dilutions of greater than 200%. The results complement previous studies demonstrating niche partitioning of S. lindsayae and P. antarcticus across salinity gradients and strengthen interpretations of the physiological mechanisms underlying previously reported spatial correlation between soil salinity and nematodes abundance in the Antarctic Dry Valleys.</t>
  </si>
  <si>
    <t>Colorado State Univ, Nat Resource Ecol Lab, Ft Collins, CO 80523 USA; Dartmouth Coll, Environm Studies Program, Hanover, NH 03755 USA</t>
  </si>
  <si>
    <t>Colorado State University; Dartmouth College</t>
  </si>
  <si>
    <t>Nkem, JN (corresponding author), Colorado State Univ, Nat Resource Ecol Lab, Ft Collins, CO 80523 USA.</t>
  </si>
  <si>
    <t>nkem@nrel.colostate.edu</t>
  </si>
  <si>
    <t>Wall, Diana H/F-5491-2011; Barrett, John/D-5851-2016</t>
  </si>
  <si>
    <t>Barrett, John/0000-0002-7610-0505</t>
  </si>
  <si>
    <t>10.1007/s00300-005-0101-6</t>
  </si>
  <si>
    <t>WOS:000238715800003</t>
  </si>
  <si>
    <t>Bonaventura, SM; Vinocur, A; Allende, L; Pizarro, H</t>
  </si>
  <si>
    <t>Bonaventura, S. M.; Vinocur, A.; Allende, L.; Pizarro, H.</t>
  </si>
  <si>
    <t>Algal structure of the littoral epilithon in lentic water bodies at Hope Bay, Antarctic Peninsula</t>
  </si>
  <si>
    <t>KING-GEORGE ISLAND; DIATOM COMMUNITIES; POTTER PENINSULA; MICROBIAL MATS; SOUTH SHETLAND; LAKES; STREAM; PERIPHYTON; PHYTOPLANKTON; HETEROGENEITY</t>
  </si>
  <si>
    <t>We studied the composition and density of the algae of the littoral epilithon and the taxa turnover in nine lentic water bodies at Hope Bay, Antarctic Peninsula, during summer 2002. At each site we measured the main physical and chemical variables, and took epilithic samples for the algal analysis. Two composed samples (one for qualitative and one for quantitative analysis) were taken randomly about 1 m away from the shore-line of each sampling site. The morphology of the algal mats could be included in the 'moat and pond type' in which Cyanobacteria are well represented. A total of 69 algal taxa were recorded in the whole study area. Chlorophyceae showed the highest taxa richness (33%), followed by Cyanobacteria (29%), Bacillariophyceae (26%), Chrysophyceae (10%), and Tribophyceae (2%). As a result of the redundancy analysis performed, we found that the number, composition, and density of taxa in the water bodies at Hope Bay were strongly influenced by nitrate and suspended solids concentrations and by the distance from the sea. The geographical trend in taxa turnover within Hope Bay was explained by elements from the combination of the metapopulation dynamics and the continuum theories, which are related to dispersal limitation and environmental heterogeneity, respectively.</t>
  </si>
  <si>
    <t>Univ Buenos Aires, FCE&amp;N, Dept Ecol Genet &amp; Evoluc, RA-1428 Buenos Aires, DF, Argentina; Consejo Nacl Invest Cient &amp; Tecn, RA-1033 Buenos Aires, DF, Argentina</t>
  </si>
  <si>
    <t>University of Buenos Aires; Consejo Nacional de Investigaciones Cientificas y Tecnicas (CONICET)</t>
  </si>
  <si>
    <t>Pizarro, H (corresponding author), Univ Buenos Aires, FCE&amp;N, Dept Ecol Genet &amp; Evoluc, RA-1428 Buenos Aires, DF, Argentina.</t>
  </si>
  <si>
    <t>hay@bg.fcen.uba.ar</t>
  </si>
  <si>
    <t>10.1007/s00300-005-0104-3</t>
  </si>
  <si>
    <t>WOS:000238715800006</t>
  </si>
  <si>
    <t>Pörtner, HO; Peck, LS; Hirse, T</t>
  </si>
  <si>
    <t>Poertner, Hans O.; Peck, Lloyd S.; Hirse, Timo</t>
  </si>
  <si>
    <t>Hyperoxia alleviates thermal stress in the Antarctic bivalve, Laternula elliptica:: evidence for oxygen limited thermal tolerance</t>
  </si>
  <si>
    <t>TEMPERATURE-DEPENDENT BIOGEOGRAPHY; CLIMATE-CHANGE; MITOCHONDRIAL-FUNCTION; INTRACELLULAR PH; SENSITIVITY; IMPACTS; FISH; LIMITATION; PHYSIOLOGY</t>
  </si>
  <si>
    <t>Understanding thermal limits and the ability of species to cope with changing temperatures is crucial for a cause and effect understanding of climate effects on organisms and ecosystems. Data available for marine species from various phyla and climates led to the hypothesis that a mismatch between oxygen demand and limited capacity of oxygen supply to tissues is the first mechanism to restrict survival at thermal extremes. Here we show that doubling the oxygen content of the ambient seawater from 160 mmHg partial pressure to 350 mmHg raised the upper temperature limits of the Antarctic marine bivalve Laternula elliptica by about 2.5 degrees C. It reduced the accumulation of the anaerobic end product succinate or of total CO2 as a sign of respiratory distress. These findings provide further evidence that oxygen supply does limit thermal tolerance in marine animals. As water temperatures rise animals will face a double problem of progressively reduced oxygen solubility in the water and enhanced costs reflected in increased metabolic rates.</t>
  </si>
  <si>
    <t>Alfred Wegener Inst Polar &amp; Marine Res, D-27515 Bremerhaven, Germany; British Antarctic Survey, NERC, Cambridge CB3 0ET, England</t>
  </si>
  <si>
    <t>Helmholtz Association; Alfred Wegener Institute, Helmholtz Centre for Polar &amp; Marine Research; UK Research &amp; Innovation (UKRI); Natural Environment Research Council (NERC); NERC British Antarctic Survey</t>
  </si>
  <si>
    <t>Pörtner, HO (corresponding author), Alfred Wegener Inst Polar &amp; Marine Res, Postfach 12 01 61, D-27515 Bremerhaven, Germany.</t>
  </si>
  <si>
    <t>hpoertner@awi-bremerhaven.de</t>
  </si>
  <si>
    <t>Pörtner, Hans-O./K-9429-2016; Pörtner, Hans-O./ISU-9397-2023</t>
  </si>
  <si>
    <t>Pörtner, Hans-O./0000-0001-6535-6575;</t>
  </si>
  <si>
    <t>10.1007/s00300-005-0106-1</t>
  </si>
  <si>
    <t>WOS:000238715800008</t>
  </si>
  <si>
    <t>Gibson, JAE; Roberts, D; Van de Vijver, B</t>
  </si>
  <si>
    <t>Salinity control of the distribution of diatoms in lakes of the Bunger Hills, East Antarctica</t>
  </si>
  <si>
    <t>WINDMILL ISLANDS; ICE-FREE; PALEOSALINITY HISTORY; LARSEMANN HILLS; RAUER ISLANDS; OASIS; FLORA; LIMNOLOGY; WATER; DIADESMIS</t>
  </si>
  <si>
    <t>The biogeography of Antarctic lacustrine diatoms is incompletely known due in part to the absence of information from some important ice-free regions. In the first detailed study of the diatoms of the Bunger Hills, 29 species were identified in near-edge microbial mats of lakes ranging in salinity from fresh to 77 parts per thousand. Most of the species present had previously been recorded in other East Antarctic coastal oases. The distribution and relative abundance of diatoms within the Bunger Hills were strongly influenced by salinity, but other factors, notably the characteristics of lakes in the immediate area of a particular lake, also played important roles.</t>
  </si>
  <si>
    <t>Univ Tasmania, Inst Antarctic &amp; So Ocean Studies, Hobart, Tas 7001, Australia; Univ Tasmania, Sch Zool, Hobart, Tas 7001, Australia; Univ Antwerp, Dept Biol, Unit Polar Biol Limnol &amp; Paleobiol, B-2610 Antwerp, Belgium; Natl Plantenuin Belgie, B-1860 Meise, Belgium</t>
  </si>
  <si>
    <t>University of Tasmania; University of Tasmania; University of Antwerp</t>
  </si>
  <si>
    <t>john.gibson@utas.edu.au</t>
  </si>
  <si>
    <t>Roberts, Donna/0000-0001-6701-6662</t>
  </si>
  <si>
    <t>10.1007/s00300-006-0107-8</t>
  </si>
  <si>
    <t>WOS:000238715800009</t>
  </si>
  <si>
    <t>Stein, DL</t>
  </si>
  <si>
    <t>Stein, David L.</t>
  </si>
  <si>
    <t>New and rare species of snailfishes (Scorpaeniformes: Liparidae) collected during the ICEFISH cruise of 2004</t>
  </si>
  <si>
    <t>During the ICEFISH cruise of 2004 13 specimens of the fish family Liparidae (Scorpaeniformes) were collected from Burdwood Bank and near South Georgia. These specimens, with the addition of three more from the King Edward Point Laboratory of the British Antarctic Survey, represent nine species. Two of these are new and are described herein: Careproctus stigmatogenus new species and C. maculosus new species; the second specimen of C. minimus Andriashev and Stein is reported and described, specimens of C. georgianus Lonnberg, C. falklandicus (Lonnberg), C. ?pallidus (Vaillant), Paraliparis copei gibbericeps Andriashev, P. gracilis Norman, and P. tetrapteryx Andriashev and Neelov are reported, and live color of C. georgianus, C. falklandicus, and P. tetrapteryx is described and shown.</t>
  </si>
  <si>
    <t>Oregon State Univ, Dept Fisheries &amp; Wildlife, Corvallis, OR 97331 USA; Natl Museum Nat Hist, NOAA, NMFS Natl Systemat Lab, Smithsonian Inst, Washington, DC 20013 USA</t>
  </si>
  <si>
    <t>Oregon State University; National Oceanic Atmospheric Admin (NOAA) - USA; Smithsonian Institution; Smithsonian National Museum of Natural History</t>
  </si>
  <si>
    <t>Stein, DL (corresponding author), Oregon State Univ, Dept Fisheries &amp; Wildlife, 104 Nash Hall, Corvallis, OR 97331 USA.</t>
  </si>
  <si>
    <t>david.stein@oregonstate.edu</t>
  </si>
  <si>
    <t>10.1007/s00300-006-0108-7</t>
  </si>
  <si>
    <t>WOS:000238715800010</t>
  </si>
  <si>
    <t>De Villiers, M; Bause, M; Giese, M; Fourie, A</t>
  </si>
  <si>
    <t>De Villiers, Marienne; Bause, Mariette; Giese, Melissa; Fourie, Andre</t>
  </si>
  <si>
    <t>Hardly hard-hearted:: heart rate responses of incubating Northern Giant Petrels (Macronectes halli) to human disturbance on sub-Antarctic Marion Island</t>
  </si>
  <si>
    <t>SURFACE-NESTING SEABIRDS; ENERGY-EXPENDITURE; ALBATROSSES; GEESE</t>
  </si>
  <si>
    <t>Guidelines for visitors to sub-Antarctic Marion Island recommend 15 and 100 m minimum approach distances for breeding Northern (Macronectes halli) and Southern (Macronectes giganteus) Giant Petrels, respectively. Using artificial eggs containing FM transmitters, we measured the heart rate responses of incubating Northern Giant Petrels to pedestrian approaches. The mean resting heart rate was 80 beats per minute. Heart rates increased upon the detection of a person approximately 40 m away, and continued to increase during the approach to 5 m. Maximum increases over resting heart rate in response to natural disturbances and human approach were 97 and 204%, respectively. Northern Giant Petrels appear at least as sensitive to human disturbance as their congenerics. While low-key disturbance is unlikely to affect this solitary breeder as severely as it would the colonial Southern Giant Petrel, improved protection from disturbance could be achieved by restricting human passage through breeding colonies of Northern Giant Petrels to defined paths.</t>
  </si>
  <si>
    <t>Univ Cape Town, Dept Stat Sci, Avian Demog Unit, ZA-7701 Rondebosch, South Africa; Australian Govt, Migratory &amp; Marine Species Sect, Dept Environm &amp; Heritage, Canberra, ACT 2601, Australia; Fourie Villiers &amp; Associates, ZA-7129 Somerset W, South Africa</t>
  </si>
  <si>
    <t>University of Cape Town</t>
  </si>
  <si>
    <t>De Villiers, M (corresponding author), Univ Cape Town, Dept Stat Sci, Avian Demog Unit, ZA-7701 Rondebosch, South Africa.</t>
  </si>
  <si>
    <t>mdevill@adu.uct.ac.za</t>
  </si>
  <si>
    <t>10.1007/s00300-006-0137-2</t>
  </si>
  <si>
    <t>WOS:000238715800012</t>
  </si>
  <si>
    <t>Beck, PJ</t>
  </si>
  <si>
    <t>Beck, Peter J.</t>
  </si>
  <si>
    <t>The United Nations and Antarctica, 2005: the end of the 'Question of Antarctica'?</t>
  </si>
  <si>
    <t>POLAR RECORD</t>
  </si>
  <si>
    <t>In November 2005 the 'Question of Antarctica' was taken up yet again by the UN First Committee. Following formal placement upon its agenda in 1983 by the Malaysian government, the UN has discussed the topic regularly, initially annually, then biennially, but more recently upon a triennial basis. As usual, in 2005 UN members were guided by a lengthy report produced for the United Nations Secretary General (UNSG) by the United Nations Environment Programme (UNEP) in order to outline recent developments affecting Antarctica and the Antarctic Treaty system (ATS). In November 2005 the UN First Committee, acting upon proposed amendments advanced by the Malaysian delegation, agreed to a major change of course. Thus, resolution L60, adopted by the committee without a vote, stipulated that the UN, though remaining 'seized' of the 'Question of Antarctica', would not place the topic upon the agenda of the 63rd. session in 2008. Nor would the UNSG be required, henceforth, to produce a report on Antarctica for members. In December 2005, the UN General Assembly adopted draft resolution L60 as resolution 60/47, once again without a vote. As a result, for the first time since 1983, the UN is no longer scheduled to return to the 'Question of Antarctica'. Meanwhile, the episode has raised interesting questions about future developments: the UN's role, if any, in the 'Question of Antarctica', the direction of Malaysian policy towards the ATS, including membership thereof; the continued ability of the Antarctic Treaty Consultative Parties (ATCPs) to manage Antarctica in a democratic, transparent and accountable manner without attracting criticism from the broader international community; and the relevance of the common heritage principle to the Antarctic region.</t>
  </si>
  <si>
    <t>Kingston Univ, Fac Arts &amp; Social Sci, Kingston upon Thames KT1 2EE, Surrey, England</t>
  </si>
  <si>
    <t>Kingston University</t>
  </si>
  <si>
    <t>Beck, PJ (corresponding author), Kingston Univ, Fac Arts &amp; Social Sci, Kingston upon Thames KT1 2EE, Surrey, England.</t>
  </si>
  <si>
    <t>0032-2474</t>
  </si>
  <si>
    <t>POLAR REC</t>
  </si>
  <si>
    <t>POLAR REC.</t>
  </si>
  <si>
    <t>10.1017/S003224740600533X</t>
  </si>
  <si>
    <t>Ecology; Environmental Sciences</t>
  </si>
  <si>
    <t>079EF</t>
  </si>
  <si>
    <t>WOS:000240157600004</t>
  </si>
  <si>
    <t>Bosco, P</t>
  </si>
  <si>
    <t>Bosco, Piero</t>
  </si>
  <si>
    <t>The giacomo Bove Museum, Maranzana, Italy</t>
  </si>
  <si>
    <t>Giacomo Bove (1852-1887) was an officer in the Royal Italian Navy who participated in Nordenskiold's Vega expedition through the northeast passage, and in other expeditions in various parts of the world. He was, in part, responsible for drawing up plans for an Italian Antarctic expedition to depart in 1881. He died, at the age of 35, after an expedition to the Congo. A small museum in his honour has been established in his home village of Maranzana, Italy.</t>
  </si>
  <si>
    <t>Bosco, P (corresponding author), Via Fontane 24-A, I-12064 La Morra, CN, Italy.</t>
  </si>
  <si>
    <t>10.1017/S0032247406215559</t>
  </si>
  <si>
    <t>WOS:000240157600008</t>
  </si>
  <si>
    <t>Chaplin, P</t>
  </si>
  <si>
    <t>Chaplin, Paul</t>
  </si>
  <si>
    <t>The International Polar Heritage Committee</t>
  </si>
  <si>
    <t>The International Polar Heritage Committee (IPHC) was formed to serve as a resource for professionals who often work in isolation on heritage protection projects in Arctic and Antarctic regions. Its credibility has now been established in a number of areas of the wider polar infrastructure and its networks continue to expand. With such an international structure it is also able to act as an independent advocate to promote polar heritage protection issues in professional, public and political arenas.</t>
  </si>
  <si>
    <t>Int Polar Heritage Comm, N-1914 Ytre Enebakk, Norway</t>
  </si>
  <si>
    <t>Chaplin, P (corresponding author), Int Polar Heritage Comm, Fjellveien 14, N-1914 Ytre Enebakk, Norway.</t>
  </si>
  <si>
    <t>pchaplin@online.no</t>
  </si>
  <si>
    <t>10.1017/S0032247406225555</t>
  </si>
  <si>
    <t>WOS:000240157600009</t>
  </si>
  <si>
    <t>Geissler, K; Masciadri, E</t>
  </si>
  <si>
    <t>Geissler, Kerstin; Masciadri, Elena</t>
  </si>
  <si>
    <t>Meteorological parameter analysis above Dome C using data from the European Centre for Medium-Range Weather Forecasts</t>
  </si>
  <si>
    <t>HIGH-ANTARCTIC PLATEAU; OPTICAL TURBULENCE; ATMOSPHERICAL MODEL; SITE; SIMULATIONS; ASTRONOMY</t>
  </si>
  <si>
    <t>We present a characterization of all the principal meteorological parameters (wind speed and direction, pressure, and absolute and potential temperature) that extends up to 25 km from the ground above Dome C, Antarctica, for 2 years (2003 and 2004). The data set is composed of analyses provided by the general circulation model (GCM) of the European Centre for Medium-Range Weather Forecasts (ECMWF), and they are part of the MARS catalog. A monthly and seasonal (summer and winter) statistical analysis of the results is presented. The Richardson number is calculated for each month of the year over 25 km in order to study the relative stability of the atmosphere. This allows us to trace a map indicating where and when the optical turbulence has the highest probability of being triggered in the whole troposphere, tropopause, and stratosphere. Finally, we try to predict the best expected isoplanatic angle and wave-front coherence times (theta(0,max) and tau(0,max), respectively) by employing Richardson number maps, wind speed profiles, and simple analytical models of C-N(2) vertical profiles.</t>
  </si>
  <si>
    <t>European So Observ, Santiago 19, Chile; Max Planck Inst Astron, D-69117 Heidelberg, Germany; Osserv Astrofis Arcetri, INAF, I-50125 Florence, Italy</t>
  </si>
  <si>
    <t>European Southern Observatory; Max Planck Society; Istituto Nazionale Astrofisica (INAF)</t>
  </si>
  <si>
    <t>Geissler, K (corresponding author), European So Observ, Alonso Cordova 3107,Casilla 19001, Santiago 19, Chile.</t>
  </si>
  <si>
    <t>masciadri@arcetri.astro.it</t>
  </si>
  <si>
    <t>Masciadri, Elena/AAC-5611-2021</t>
  </si>
  <si>
    <t>Masciadri, Elena/0000-0002-0450-4092</t>
  </si>
  <si>
    <t>10.1086/505891</t>
  </si>
  <si>
    <t>068QP</t>
  </si>
  <si>
    <t>WOS:000239389800002</t>
  </si>
  <si>
    <t>Jrrar, A; Braesicke, P; Hadjinicolaou, P; Pyle, JA</t>
  </si>
  <si>
    <t>Jrrar, Amna; Braesicke, Peter; Hadjinicolaou, Panos; Pyle, John A.</t>
  </si>
  <si>
    <t>Trend analysis of CTM-derived northern hemisphere winter total ozone using self-consistent proxies: How well can we explain dynamically induced trends?</t>
  </si>
  <si>
    <t>QUARTERLY JOURNAL OF THE ROYAL METEOROLOGICAL SOCIETY</t>
  </si>
  <si>
    <t>Arctic oscillation; circulation patterns; polar-night jet index</t>
  </si>
  <si>
    <t>ATLANTIC OSCILLATION; STRATOSPHERIC OZONE; INTERANNUAL VARIABILITY; ARCTIC OSCILLATION; CIRCULATION; TROPOSPHERE; CLIMATE; NAO; DEPLETION; PATTERNS</t>
  </si>
  <si>
    <t>We derive characteristic spatial patterns, and their temporal evolution, for total ozone during January, February and March in the northern hemisphere from a twenty-year integration of a chemistry-transport model. Our aim is to identify factors influencing ozone variability (and decadal-scale trends) and to develop proxies for inclusion in statistical models of the ozone trend. The version of the chemistry-transport model is set up so that the model ozone interannual variability, and any trends, are driven purely by the dynamical forcing fields. The five leading Empirical Orthogonal Functions derived using singular value decomposition are identified with the polar-night jet, the Scandinavian pattern, the Arctic Oscillation, the North Atlantic Oscillation and the Eliassen-Palm flux respectively. We then apply trend analysis to the model results, using the corresponding principal components (PCs) as proxies in a multiple linear regression model to calculate ozone trends. As expected, the use of the five leading PCs together as explanatory variables in the regression model explains most of the northern hemisphere dynamically driven trend in the chemistry-transport model. By comparing the performance of the trend model using the first ozone principal component and then the polar-night jet index, we establish the importance for trend calculations of the modulation of the polar vortex which influences ozone variability in middle latitudes during late winter/spring. A suitable proxy for the polar-night jet index should be considered in all future trend studies.</t>
  </si>
  <si>
    <t>Univ Cambridge, Dept Chem, Ctr Atmospher Sci, Cambridge CB2 1TN, England; Univ Cambridge, NCAS, ACMSU, Cambridge CB2 1TN, England</t>
  </si>
  <si>
    <t>University of Cambridge; University of Cambridge</t>
  </si>
  <si>
    <t>Jrrar, A (corresponding author), British Antarctic Survey, High Cross,Madingley Rd, Cambridge CB3 0ET, England.</t>
  </si>
  <si>
    <t>amjr@bas.ac.uk</t>
  </si>
  <si>
    <t>Braesicke, Peter/D-8330-2016; Hadjinicolaou, Panos/H-1729-2016</t>
  </si>
  <si>
    <t>Braesicke, Peter/0000-0003-1423-0619; Hadjinicolaou, Panos/0000-0003-1170-2182; Jrrar, Amna/0000-0002-3426-9783</t>
  </si>
  <si>
    <t>0035-9009</t>
  </si>
  <si>
    <t>1477-870X</t>
  </si>
  <si>
    <t>Q J ROY METEOR SOC</t>
  </si>
  <si>
    <t>Q. J. R. Meteorol. Soc.</t>
  </si>
  <si>
    <t>B</t>
  </si>
  <si>
    <t>10.1256/qj.05.136</t>
  </si>
  <si>
    <t>098TM</t>
  </si>
  <si>
    <t>WOS:000241545700010</t>
  </si>
  <si>
    <t>Willmott, V; Domack, EW; Canals, M; Brachfeld, S</t>
  </si>
  <si>
    <t>Willmott, Veronica; Domack, Eugene W.; Canals, Miquel; Brachfeld, Stefanie</t>
  </si>
  <si>
    <t>A high resolution relative paleointensity record from the Gerlache-Boyd paleo-ice stream region, northern Antarctic Peninsula</t>
  </si>
  <si>
    <t>QUATERNARY RESEARCH</t>
  </si>
  <si>
    <t>relative paleomagnetic intensity; teprhocrhonology; holocene; Antarctic Peninsula</t>
  </si>
  <si>
    <t>GEOMAGNETIC-FIELD; SEDIMENTARY RECORDS; WESTERN BRANSFIELD; SOUTHERN-OCEAN; ROSS SEA; INTENSITY; ATLANTIC; SHELF; PACIFIC; RETREAT</t>
  </si>
  <si>
    <t>Herein we document and interpret an absolute chronological dating attempt using geomagnetic paleointensity data from a post-glacial sediment drape on the western Antarctic Peninsula continental shelf Our results demonstrate that absolute dating can be established in Holocene Antarctic shelf sediments that lack suitable material for radiocarbon dating. Two jumbo piston cores of 10-m length were collected in the Western Bransfield Basin. The cores preserve a strong, stable remanent magnetization and meet the magnetic mineral assemblage criteria recommended for reliable paleointensity analyses. The relative paleomagnetic intensity records were tuned to published absolute and relative paleomagnetic stacks, which yielded a record of the last similar to 8500 years for the post-glacial drape. Four tephra layers associated with documented eruptions of nearby Deception Island have been dated at 3.31, 3.73, 4,44, and 6.86 +/- 0.07 ka using the geomagnetic paleointensity method. This study establishes the dual role of geomagnetic paleointensity and tephrochronology in marine sediments across both sides of the northern Antarctic Peninsula. (c) 2006 University of Washington. All rights reserved.</t>
  </si>
  <si>
    <t>Univ Barcelona, Dept Stratig Paleontol &amp; Marine Geosci, Barcelona, Spain; Hamilton Coll, Dept Geosci, Clinton, NY 13323 USA; Montclair State Univ, Dept Earth &amp; Enivornm Studies, Montclair, NJ 07043 USA</t>
  </si>
  <si>
    <t>University of Barcelona; Hamilton College; Montclair State University</t>
  </si>
  <si>
    <t>Canals, M (corresponding author), Univ Barcelona, Dept Stratig Paleontol &amp; Marine Geosci, Barcelona, Spain.</t>
  </si>
  <si>
    <t>miquelcanals@ub.edu</t>
  </si>
  <si>
    <t>Willmott Puig, Veronica/AGN-3478-2022; Canals, Miquel/F-4922-2013</t>
  </si>
  <si>
    <t>Willmott Puig, Veronica/0000-0002-6552-8901; Brachfeld, Stefanie/0000-0003-4612-2866; Canals, Miquel/0000-0001-5267-7601</t>
  </si>
  <si>
    <t>ACADEMIC PRESS INC ELSEVIER SCIENCE</t>
  </si>
  <si>
    <t>SAN DIEGO</t>
  </si>
  <si>
    <t>525 B ST, STE 1900, SAN DIEGO, CA 92101-4495 USA</t>
  </si>
  <si>
    <t>0033-5894</t>
  </si>
  <si>
    <t>QUATERNARY RES</t>
  </si>
  <si>
    <t>Quat. Res.</t>
  </si>
  <si>
    <t>10.1016/j.yqres.2006.01.006</t>
  </si>
  <si>
    <t>058UP</t>
  </si>
  <si>
    <t>WOS:000238690400001</t>
  </si>
  <si>
    <t>da Rosa, KK; Vieira, R; Simoes, JC</t>
  </si>
  <si>
    <t>da Rosa, Katia Kellem; Vieira, Rosemary; Simoes, Jefferson Cardia</t>
  </si>
  <si>
    <t>GLACIAL DYNAMICS AND SEDIMENTARY CHARACTERISTICS RESULTING IN THE PROGLACIAL ZONE OF THE GLACIER ECOLOGY-ADMIRALTY BAY, KING GEORGE ISLAND-ANTARCTICA</t>
  </si>
  <si>
    <t>REVISTA BRASILEIRA DE GEOMORFOLOGIA</t>
  </si>
  <si>
    <t>Portuguese</t>
  </si>
  <si>
    <t>Antarctic; King George Island; glacier Ecology; glacial sedimentation</t>
  </si>
  <si>
    <t>The glacier Ecology, located at King George island, South Shetlands islands, has been submited to a fast retrocession process during the last decades; from 1956 to 1992/1995 a glacier retroceded 0.37 km(2). This process has genereated a deglacial environmet, which has exposed several geoforms of proglacial zone to further paraglacial activities. This work shows the study of deglacial environment and sedimentological characteristics of deposits in proglacial zone. It is also inferred the termal basal conditions of glacier. A geomorfological model of Ecology glacier proglacial zone is created, which can be used to compare proglacial zones from other glacial basal conditions.</t>
  </si>
  <si>
    <t>[da Rosa, Katia Kellem; Vieira, Rosemary; Simoes, Jefferson Cardia] Univ Fed Rio Grande do Sul, Nucl Pesquisas Antartieas &amp; Climat, Porto Alegre, RS, Brazil</t>
  </si>
  <si>
    <t>Universidade Federal do Rio Grande do Sul</t>
  </si>
  <si>
    <t>da Rosa, KK (corresponding author), Univ Fed Rio Grande do Sul, Nucl Pesquisas Antartieas &amp; Climat, Porto Alegre, RS, Brazil.</t>
  </si>
  <si>
    <t>katiakellem@yahoo.com.br; rosemary.vieira@ufrgs.com.br; jefferson.simoes@ufrgs.br</t>
  </si>
  <si>
    <t>Simoes, Jefferson Cardia/D-7232-2013; da Rosa, Kátia Kellem/AAO-8367-2020</t>
  </si>
  <si>
    <t>Simoes, Jefferson Cardia/0000-0001-5555-3401; da Rosa, Kátia Kellem/0000-0003-0977-9658</t>
  </si>
  <si>
    <t>UNIAO GEOMORFOLOGIA BRASILEIRA</t>
  </si>
  <si>
    <t>UBERLANDIA, BRAZIL</t>
  </si>
  <si>
    <t>UNIV FEDERAL UBERLANDIA, AV JOAO NAVES AVILA 2160, UBERLANDIA, BRAZIL, 00000, BRAZIL</t>
  </si>
  <si>
    <t>1519-1540</t>
  </si>
  <si>
    <t>2236-5664</t>
  </si>
  <si>
    <t>REV BRAS GEOMORFOL</t>
  </si>
  <si>
    <t>Rev. Bras. Geomorfol.</t>
  </si>
  <si>
    <t>Geography, Physical</t>
  </si>
  <si>
    <t>Physical Geography</t>
  </si>
  <si>
    <t>V1I1D</t>
  </si>
  <si>
    <t>WOS:000216924400005</t>
  </si>
  <si>
    <t>Lacassie, JP; Hervé, F; Roser, B</t>
  </si>
  <si>
    <t>Lacassie, Juan Pablo; Herve, Francisco; Roser, Barry</t>
  </si>
  <si>
    <t>Sedimentary provenance study of the post-Early Permian to pre-Early Cretaceous metasedimentary Duque de York Complex, Chile</t>
  </si>
  <si>
    <t>REVISTA GEOLOGICA DE CHILE</t>
  </si>
  <si>
    <t>tectonic regime; pre-Late Jurassic; Patagonian Andes; Rakaia terrane; LeMay Group; Gondwana</t>
  </si>
  <si>
    <t>MARIE BYRD LAND; NEW-ZEALAND; ANTARCTIC PENINSULA; CRUSTAL EVOLUTION; SOUTHERN CHILE; GEOCHEMICAL EVIDENCE; TORLESSE TERRANE; GONDWANA MARGIN; SHEAR ZONE; ROCKS</t>
  </si>
  <si>
    <t>The Duque de York Complex constitutes a post-Early Permian to pre-Early Cretaceous metasedimentary succession that crops out at the Madre de Dios and Diego de Almagro archipelagos along the Chilean Patagonian Andes. The petrography and geochemistry of sandstones and mudstones of this complex have been analyzed to characterize its source and depositional tectonic regime. Sandstone modal compositions are dominated by feldspar and, in similar but smaller proportions, by quartz. The mineralogical composition of the sandstones and mudstones is compatible with a low-grade sub-greenschist facies metamorphism. This did not affect significantly the geochemical compositions of these rocks. Nevertheless, the geochemical analyses reveal variable K, enrichment, especially in the mudstones. Chemical Index of Alteration values of the sandstones and mudstones range between 58 and 71, indicating that the sediment underwent moderate chemical alteration in the source area or during transportation. Sandstone modal compositions are consistent with erosion of the plutonic roots of a magmatic arc. Geochemical provenance indices suggest a relatively evolved source, close in composition to typical continental magmatic arc granodiorite. Deposition of the detritus is most likely to have occurred within an active continental margin. Geochronological, petrographic, and geochemical similarities between the metasediments of the Duke de York Complex, the LeMay Group (Western Antarctica) and the PermianLate Triassic Rakaia terrane (New Zealand) suggest a common geodynamic set-up for these three successions. This likely constituted an extensive late Paleozoic-early Mesozoic active continental margin, possibly along the Antarctic sector of Gondwana.</t>
  </si>
  <si>
    <t>[Lacassie, Juan Pablo] Univ Johannesburg, Dept Geol, ZA-2006 Johannesburg, South Africa; [Lacassie, Juan Pablo] Serv Nacl Geol &amp; Mineria, Dept Geol Econ, Santiago, Chile; [Herve, Francisco] Univ Chile, Dept Geol, Fac Phys &amp; Math Sci, Santiago, Chile; [Roser, Barry] Shimane Univ, Dept Geosci, Matsue, Shimane 6908504, Japan</t>
  </si>
  <si>
    <t>University of Johannesburg; Universidad de Chile; Shimane University</t>
  </si>
  <si>
    <t>Lacassie, JP (corresponding author), Univ Johannesburg, Dept Geol, POB 524,Auckland Pk, ZA-2006 Johannesburg, South Africa.</t>
  </si>
  <si>
    <t>jlacassie@sernageomin.cl; therve@ing.uchile.cl; roser@riko.shimane-u.ac.jp</t>
  </si>
  <si>
    <t>Herve, Francisco/HDO-6628-2022</t>
  </si>
  <si>
    <t>SERVICIO NACIONAL GEOLOGIA MINERVA</t>
  </si>
  <si>
    <t>SANTIAGO</t>
  </si>
  <si>
    <t>AVDA SANTA MARIO 0104, CASILLA 10465, SANTIAGO, CHILE</t>
  </si>
  <si>
    <t>0716-0208</t>
  </si>
  <si>
    <t>REV GEOL CHILE</t>
  </si>
  <si>
    <t>Rev. Geol. Chile</t>
  </si>
  <si>
    <t>069JU</t>
  </si>
  <si>
    <t>WOS:000239443000001</t>
  </si>
  <si>
    <t>Falnes, J</t>
  </si>
  <si>
    <t>Falnes, Jorund</t>
  </si>
  <si>
    <t>The shore whaling stations at South Georgia: A study in Antarctic industrial archaeology.</t>
  </si>
  <si>
    <t>TECHNOLOGY AND CULTURE</t>
  </si>
  <si>
    <t>Book Review</t>
  </si>
  <si>
    <t>Museumssenteret Vestfold AS, Sandefjord, Norway</t>
  </si>
  <si>
    <t>Falnes, J (corresponding author), Museumssenteret Vestfold AS, Sandefjord, Norway.</t>
  </si>
  <si>
    <t>JOHNS HOPKINS UNIV PRESS</t>
  </si>
  <si>
    <t>BALTIMORE</t>
  </si>
  <si>
    <t>JOURNALS PUBLISHING DIVISION, 2715 NORTH CHARLES ST, BALTIMORE, MD 21218-4363 USA</t>
  </si>
  <si>
    <t>0040-165X</t>
  </si>
  <si>
    <t>TECHNOL CULT</t>
  </si>
  <si>
    <t>Technol. Cult.</t>
  </si>
  <si>
    <t>10.1353/tech.2006.0173</t>
  </si>
  <si>
    <t>History &amp; Philosophy Of Science</t>
  </si>
  <si>
    <t>Science Citation Index Expanded (SCI-EXPANDED); Social Science Citation Index (SSCI); Arts &amp; Humanities Citation Index (A&amp;HCI)</t>
  </si>
  <si>
    <t>History &amp; Philosophy of Science</t>
  </si>
  <si>
    <t>073VO</t>
  </si>
  <si>
    <t>WOS:000239770900042</t>
  </si>
  <si>
    <t>Glikson, A</t>
  </si>
  <si>
    <t>Glikson, Andrew</t>
  </si>
  <si>
    <t>Asteroid impact ejecta units overlain by iron-rich sediments in 3.5-2.4 Ga terrains, Pilbara and Kaapvaal cratons: Accidental or cause-effect relationships?</t>
  </si>
  <si>
    <t>EARTH AND PLANETARY SCIENCE LETTERS</t>
  </si>
  <si>
    <t>banded iron-formation; jaspilite; asteroid impact; Archaean; early Proterozoic</t>
  </si>
  <si>
    <t>ARCHEAN SPHERULE LAYER; TRANSVAAL SUPERGROUP; IRIDIUM ANOMALIES; HAMERSLEY BASIN; SHOCKED QUARTZ; DEPOSITION; ELEMENT; ORIGIN</t>
  </si>
  <si>
    <t>The significance of temporal and spatial associations between asteroid/comet impact ejecta units and overlying iron-rich sediments, including banded iron-formation (BIF), jaspilite and ferruginous shale, observed in the Pilbara Craton, Western Australia and the Barberton Greenstone Belt (BGB), Kaapvaal Craton, South Africa, is considered. Such associations include (1) 3470.1 +/- 1.9 Ma impact spherule units and tsunami-type breccia overlain by jaspilite in the Antarctic Chert Member, central Pilbara Craton; (2) 3258 +/- 3 Ma impact spherule unit (S2) in the BGB overlain by BIF, jaspilite and ferruginous shale; (3) 3243 +/- 4 Ma impact unit (S3) in the BGB overlain by iron-rich sediments (Ulundi Formation); (4) two formations of BIF and ferruginous shale at the base (Nimmingarra Iron Formation) and lower part (Paddy Market Formation) of the Gorge Creek Group, central Pilbara Craton, which overlie 3235 +/- 3 Ma felsic volcanics along a boundary correlated with the BGB-S3 unit; (5) 2629 +/- 5 Ma impact spherule unit and tsunami-type deposit overlain by BIF and ferruginous shale (Marra Mamba Iron Formation), central Pilbara Craton; (5) 2481 +/- 4 Ma spherule unit intercalated at the lower part of the Dales Gorge Iron Member of the Brockman Iron Formation, Hamersley Basin, and possible equivalents in the Kuruman Formation, western Transvaal. No significant thicknesses of iron-rich sediments are known to overlie carbonate-hosted impact ejecta units, including the Bee Gorge Member (BGM) of the Wittenoom Formation (2561 +/- 8 Ma), Carawine Dolomite (eastern Hamersley Basin, Pilbara Craton), Monteville Formation and Reivilo Formation (Griqualand West Basin, Transvaal Group), or the Graensco-Vallen spherule occurrence (southwest Greenland). The juxtaposition between impact ejecta units and overlying BIF and jaspilite may be accidental or purely related to preservation of these units in below-wave-base environments. Alternatively, this association may hint at enrichment of seawater in soluble iron under low-oxygen atmosphere/hydrosphere conditions due to enhanced denudation of mafic volcanic terrains uplifted/exposed through impact-induced tectonic movements and/or impact-triggered mafic volcanic and hydrothermal activity. The general absence of iron-rich sediments above carbonate-hosted impact ejecta units may be attributed to lack of Fe enrichment or to pH and E,, conditions unsuitable for the precipitation of iron oxides. The near-absence of BIF in high-energy shallow water environments overlying impact ejecta units may reflect retardation of colloidal/chemical sedimentation in such environments. A systematic association between impact ejecta and iron-rich sediments, if confirmed, may yield useful stratigraphic tracers in the search for impact signatures in early Precambrian terrains. (c) 2006 Elsevier B.V All rights reserved.</t>
  </si>
  <si>
    <t>Australian Natl Univ, Dept Earth &amp; Marine Sci, Canberra, ACT 0200, Australia</t>
  </si>
  <si>
    <t>Australian National University</t>
  </si>
  <si>
    <t>Glikson, A (corresponding author), Australian Natl Univ, Dept Earth &amp; Marine Sci, Canberra, ACT 0200, Australia.</t>
  </si>
  <si>
    <t>Andrew.glikson@anu.edu.au</t>
  </si>
  <si>
    <t>0012-821X</t>
  </si>
  <si>
    <t>1385-013X</t>
  </si>
  <si>
    <t>EARTH PLANET SC LETT</t>
  </si>
  <si>
    <t>Earth Planet. Sci. Lett.</t>
  </si>
  <si>
    <t>JUN 30</t>
  </si>
  <si>
    <t>10.1016/j.epsl.2006.03.045</t>
  </si>
  <si>
    <t>064YB</t>
  </si>
  <si>
    <t>WOS:000239125500001</t>
  </si>
  <si>
    <t>Choi, SH; Mukasa, SB; Andronikov, AV; Osanai, Y; Harley, SL; Kelly, NM</t>
  </si>
  <si>
    <t>Choi, Sung Hi; Mukasa, Samuel B.; Andronikov, Alexandre V.; Osanai, Yasuhito; Harley, Simon L.; Kelly, Nigel M.</t>
  </si>
  <si>
    <t>Lu-Hf systematics of the ultra-high temperature Napier Metamorphic Complex in Antarctica: Evidence for the early Archean differentiation of Earth's mantle</t>
  </si>
  <si>
    <t>UHT granulite; Lu-Hf isotope; zircon; Archean; Napier Complex; Antarctica</t>
  </si>
  <si>
    <t>EARLY CORE FORMATION; U-PB GEOCHRONOLOGY; EAST ANTARCTICA; ENDERBY LAND; ISOTOPE EVIDENCE; HAFNIUM ISOTOPES; UHT METAMORPHISM; DEPLETED MANTLE; ORTHO-PYROXENE; EARLY HISTORY</t>
  </si>
  <si>
    <t>The Napier Complex of the East Antarctic Craton comprises some of the oldest rocks on Earth (similar to 3.8 billion years old), overprinted by an ultra-high temperature (UHT) metamorphic event near the Archean-Proterozoic boundary. Garnet, orthopyroxene, sapphirine, osumilite, rutile and a whole rock representing a fully equilibrated assemblage from this UHT granulite belt have yielded a Lu-Hf isochron age of 2403 +/- 43 Ma, the first ever determined on a UHT mineral assemblage. Preservation of the UHT mineral assemblage in the rock analyzed, without any significant retrogression, suggests rapid cooling with closure likely to have occurred for the Lu-Hf system at post-peak UHT conditions near a temperature of similar to 800 degrees C. This mineral-whole rock isochron yields an initial Hf-176/Hf-177 ratio corresponding to an epsilon(Hf) value of -14 +/- 1, acquired during UHT metamorphism. Such a low value demonstrates that overall UHT granulites evolved in a low Lu/Hf environment, probably formed when the rocks were first extracted from a highly depleted mantle. Zircon epsilon(Hf) values we have measured see through the UHT metamorphism and show that the source materials for the magmas that formed the Napier Complex were extremely depleted (&gt; + 5.6 epsilon(Hf) at 3.85 Ga) relative to the chondritic uniform reservoir (CHUR). These results also suggest significant depletion of the early Archean mantle, in agreement with the early differentiation of the Earth that the latest core formation models require. (c) 2006 Elsevier B.V All rights reserved.</t>
  </si>
  <si>
    <t>Univ Michigan, Dept Geol Sci, Ann Arbor, MI 48109 USA; Kyushu Univ, Div Evolut Earth Environm, Fukuoka 8108560, Japan; Univ Edinburgh, Sch Geosci, Grant Inst Earth Sci, Edinburgh EH9 3JW, Midlothian, Scotland</t>
  </si>
  <si>
    <t>University of Michigan System; University of Michigan; Kyushu University; University of Edinburgh</t>
  </si>
  <si>
    <t>Mukasa, SB (corresponding author), Univ Michigan, Dept Geol Sci, 2534 CC Little Bldg,1100 N Univ, Ann Arbor, MI 48109 USA.</t>
  </si>
  <si>
    <t>mukasa@umich.edu; osanai@scs.kyushu-u.ac.jp; Simon.Harley@ed.ac.uk</t>
  </si>
  <si>
    <t>Harley, Simon/0000-0002-1903-939X; Choi, Sung Hi/0000-0001-8942-0359</t>
  </si>
  <si>
    <t>10.1016/j.epsl.2006.04.012</t>
  </si>
  <si>
    <t>WOS:000239125500014</t>
  </si>
  <si>
    <t>Newman, PA; Nash, ER; Kawa, SR; Montzka, SA; Schauffler, SM</t>
  </si>
  <si>
    <t>Newman, Paul A.; Nash, Eric R.; Kawa, S. Randolph; Montzka, Stephen A.; Schauffler, Sue M.</t>
  </si>
  <si>
    <t>When will the Antarctic ozone hole recover?</t>
  </si>
  <si>
    <t>STRATOSPHERIC AIR; ART.; DEPLETION; TRENDS; TEMPERATURE; CHEMISTRY; CHLORINE; MODELS; VORTEX</t>
  </si>
  <si>
    <t>The Antarctic ozone hole demonstrates large-scale, man-made affects on our atmosphere. Surface observations now show that human produced ozone-depleting substances (ODSs) are declining. The ozone hole should soon start to diminish because of this decline. We demonstrate a parametric model of ozone hole area that is based upon a new algorithm for estimating chlorine and bromine levels over Antarctica and late spring Antarctic stratospheric temperatures. This model explains 95% of the ozone hole area's variance. We then use future ODS levels to predict ozone hole recovery. Full recovery to 1980 levels will occur around 2068 and the area will very slowly decline between 2001 and 2017. Detection of a statistically significant decrease of area will not occur until about 2024. We further show that nominal Antarctic stratospheric greenhouse gas forced temperature change should have a small impact on the ozone hole.</t>
  </si>
  <si>
    <t>NASA, Goddard Space Flight Ctr, Greenbelt, MD 20771 USA; Sci Syst &amp; Applicat Inc, Lanham, MD 20706 USA; NOAA, Climate Monitoring &amp; Diagnost Lab, Boulder, CO 80303 USA; Natl Ctr Atmospher Res, Boulder, CO 80305 USA</t>
  </si>
  <si>
    <t>National Aeronautics &amp; Space Administration (NASA); NASA Goddard Space Flight Center; Science Systems and Applications Inc; National Oceanic Atmospheric Admin (NOAA) - USA; National Center Atmospheric Research (NCAR) - USA</t>
  </si>
  <si>
    <t>Newman, PA (corresponding author), NASA, Goddard Space Flight Ctr, Code 613-3,8800 Greenbelt Rd, Greenbelt, MD 20771 USA.</t>
  </si>
  <si>
    <t>paul.a.newman@nasa.gov</t>
  </si>
  <si>
    <t>montzka, stephen/V-6162-2019; Kawa, Stephan R/E-9040-2012; Newman, Paul A./D-6208-2012</t>
  </si>
  <si>
    <t>montzka, stephen/0000-0002-9396-0400; Newman, Paul A./0000-0003-1139-2508</t>
  </si>
  <si>
    <t>L12814</t>
  </si>
  <si>
    <t>10.1029/2005GL025232</t>
  </si>
  <si>
    <t>062IK</t>
  </si>
  <si>
    <t>WOS:000238937600001</t>
  </si>
  <si>
    <t>Parish, TR; Cassano, JJ; Seefeldt, MW</t>
  </si>
  <si>
    <t>Parish, Thomas R.; Cassano, John J.; Seefeldt, Mark W.</t>
  </si>
  <si>
    <t>Characteristics of the Ross Ice Shelf air stream as depicted in Antarctic Mesoscale Prediction System simulations</t>
  </si>
  <si>
    <t>POLAR MM5 SIMULATIONS; KATABATIC WINDS; NUMERICAL-SIMULATION; BARRIER WINDS; FIELD; GREENLAND; ISLAND; FLOW</t>
  </si>
  <si>
    <t>[1] Streamlines of the mean annual near-surface winds over the Antarctic continent suggest a confluent channeling of the drainage flows off the ice sheets and onto the Ross Ice Shelf. A persistent cyclonic circulation to the north of the ice shelf supports a large-scale pressure field that reinforces the continental drainage flows. Owing to these two processes, an enhanced low-level airflow is present along the southern and western sections of the Ross Ice Shelf. The resulting air stream, known as the Ross Ice Shelf air stream (RAS), is one of the persistent and prominent low-level wind features seen in the Antarctic. Real-time mesoscale simulations of the Antarctic atmosphere and high southern latitudes using a modified version of the Pennsylvania State University/National Center for Atmospheric Research Mesoscale Modeling System have been ongoing since the 1999-2000 austral field season. Model results from the 1-year period November 2001 to October 2002 have been analyzed to investigate the mean structure and modulation of the Ross Ice Shelf air stream. Analyses of model results show the low-level air stream over the western Ross Ice Shelf has a wind speed maxima that is linked to the steep topography to the west. Individual cases of strong wind events appear to contain a significant barrier wind component that arises from cold air damming against the Transantarctic Mountains. Cyclones that frequently form in the Ross Sea are shown to establish conditions that promote barrier wind dynamics and thus significantly modulate the intensity of the RAS.</t>
  </si>
  <si>
    <t>Univ Wyoming, Dept Atmospher Sci, Laramie, WY 82071 USA; Univ Colorado, Dept Atmospher &amp; Ocean Sci, Cooperat Inst Res Environm Sci, Boulder, CO 80309 USA</t>
  </si>
  <si>
    <t>University of Wyoming; University of Colorado System; University of Colorado Boulder</t>
  </si>
  <si>
    <t>Parish, TR (corresponding author), Univ Wyoming, Dept Atmospher Sci, Laramie, WY 82071 USA.</t>
  </si>
  <si>
    <t>parish@uwyo.edu</t>
  </si>
  <si>
    <t>Cassano, John/HKW-8817-2023; Seefeldt, Mark W/D-3121-2011</t>
  </si>
  <si>
    <t>Seefeldt, Mark W/0000-0003-0719-2570</t>
  </si>
  <si>
    <t>D12</t>
  </si>
  <si>
    <t>D12109</t>
  </si>
  <si>
    <t>10.1029/2005JD006185</t>
  </si>
  <si>
    <t>062IX</t>
  </si>
  <si>
    <t>WOS:000238938900001</t>
  </si>
  <si>
    <t>Gardner, N; Hall, B; Wehmiller, J</t>
  </si>
  <si>
    <t>Gardner, N.; Hall, B.; Wehmiller, J.</t>
  </si>
  <si>
    <t>Pre-Holocene raised beaches at Cape Ross, Southern Victoria Land, Antarctica</t>
  </si>
  <si>
    <t>MARINE GEOLOGY</t>
  </si>
  <si>
    <t>raised beaches; Antarctica; relative sea level; Pleistocene</t>
  </si>
  <si>
    <t>WILSON PIEDMONT GLACIER; SEA-LEVEL HISTORY; TERRA-NOVA BAY; ICE-SHEET; SCOTT COAST; BROGGERHALVOYA; RADIOCARBON; CHRONOLOGY; RETREAT; SYSTEM</t>
  </si>
  <si>
    <t>Raised marine beach deposits along the coast of the Ross Embayment are important for relative sea-level reconstructions and for determining the timing of deglaciation following the last glacial maximum (LGM). Flights of beaches from McMurdo Sound to Terra Nova Bay long have been thought to be of Holocene age. However, new data from Cape Ross indicate that pre-Holocene beach material is common and may be predominant at elevations greater than 23 m above mean sea level. This discovery leads to unanswered questions regarding the full spatial extent of pre-Holocene beaches in the Antarctic and other formerly glaciated areas. More important, it indicates that undated raised beaches cannot be assumed to result from isostatic uplift following the LGM and should not be used for relative sea-level reconstructions. (c) 2006 Elsevier B.V. All rights reserved.</t>
  </si>
  <si>
    <t>Univ Maine, Climate Change Inst, Orono, ME 04469 USA; Univ Maine, Dept Earth Sci, Orono, ME 04469 USA; Univ Maine, Dept Earth Sci, Orono, ME 04469 USA; Univ Delaware, Dept Geol, Newark, DE 19716 USA</t>
  </si>
  <si>
    <t>University of Maine System; University of Maine Orono; University of Maine System; University of Maine Orono; University of Maine System; University of Maine Orono; University of Delaware</t>
  </si>
  <si>
    <t>Hall, B (corresponding author), Univ Maine, Climate Change Inst, Orono, ME 04469 USA.</t>
  </si>
  <si>
    <t>ncg34@yahoo.com; BrendaH@maine.edu; jwehm@UDel.edu</t>
  </si>
  <si>
    <t>0025-3227</t>
  </si>
  <si>
    <t>1872-6151</t>
  </si>
  <si>
    <t>MAR GEOL</t>
  </si>
  <si>
    <t>Mar. Geol.</t>
  </si>
  <si>
    <t>10.1016/j.margeo.2006.01.006</t>
  </si>
  <si>
    <t>Geosciences, Multidisciplinary; Oceanography</t>
  </si>
  <si>
    <t>Geology; Oceanography</t>
  </si>
  <si>
    <t>057VE</t>
  </si>
  <si>
    <t>WOS:000238622500011</t>
  </si>
  <si>
    <t>Griffin, M; Pastorino, G</t>
  </si>
  <si>
    <t>Griffin, Miguel; Pastorino, Guido</t>
  </si>
  <si>
    <t>The genus Offadesma Iredale, 1930 (Bivalvia: Periplomatidae) in the Miocene of Patagonia</t>
  </si>
  <si>
    <t>VELIGER</t>
  </si>
  <si>
    <t>NORTHEASTERN PATAGONIA; EOCENE BIVALVES; DRAKE PASSAGE; ARGENTINA; ANOMALODESMATA; OCEAN; PALEOCEANOGRAPHY; DISPERSAL; MOLLUSKS; BEDS</t>
  </si>
  <si>
    <t>The periplomatid genus Offadesma Iredale, 1930 was known from a few species found from the middle Eocene to Recent in New Zealand and Australia. Two new records are added from southern South America in Argentina. Offadesma sp., represented by a sole specimen from the Monte Leon Formation (late Oligocene-early Miocene) exposed near Santa Cruz, in southern Patagonia, and Offadesma isolatum n. sp., collected at Punta Pardelas (northern Patagonia) in late Miocene rocks referred to the Puerto Madryn Formation. The relationships to other periplomatids from South America seem to be remote, and therefore the migration of Offadesma from Australasia to South America during Cenozoic times as a consequence of the onset of the Antarctic Circumpolar Current is proposed.</t>
  </si>
  <si>
    <t>Univ Nacl La Pampa, Fac Ciencias Exactas &amp; Nat, Santa Rosa, La Pampa, Argentina; Museo Argentino Ciencias Nat Bernardino Rivadavia, Buenos Aires, DF, Argentina</t>
  </si>
  <si>
    <t>Museo Argentino de Ciencias Naturales Bernardino Rivadavia (MACN)</t>
  </si>
  <si>
    <t>Griffin, M (corresponding author), Univ Nacl La Pampa, Fac Ciencias Exactas &amp; Nat, Av Uruguay 151,L6300CLB, Santa Rosa, La Pampa, Argentina.</t>
  </si>
  <si>
    <t>miguelgriffin@aol.com; pastorin@mail.retina.ar</t>
  </si>
  <si>
    <t>CALIFORNIA MALACOZOOLOGICAL SOC INC</t>
  </si>
  <si>
    <t>SANTA BARBARA</t>
  </si>
  <si>
    <t>SANTA BARBARA MUSEUM NATURAL HISTORY, 2559 PUESTA DEL SOL RD, SANTA BARBARA, CA 93105 USA</t>
  </si>
  <si>
    <t>0042-3211</t>
  </si>
  <si>
    <t>Veliger</t>
  </si>
  <si>
    <t>Marine &amp; Freshwater Biology; Zoology</t>
  </si>
  <si>
    <t>060EJ</t>
  </si>
  <si>
    <t>WOS:000238784900002</t>
  </si>
  <si>
    <t>Davy, B</t>
  </si>
  <si>
    <t>Davy, Bryan</t>
  </si>
  <si>
    <t>Bollons Seamount and early New Zealand - Antarctic seafloor spreading</t>
  </si>
  <si>
    <t>Bollons Seamount; Bellingshausen Plate; Gondwana; rifting; Bounty Trough; Antipodes Fracture Zone; marine geology and geophysics : marine magnetics and paleomagnetics; marine geology and geophysics : plate tectonics</t>
  </si>
  <si>
    <t>BELLINGSHAUSEN PLATE; SATELLITE ALTIMETRY; TECTONIC EVOLUTION; SOUTHWEST PACIFIC; BOUNTY TROUGH; MANTLE; MOTION; PLUME; BATHYMETRY; PREDICTION</t>
  </si>
  <si>
    <t>[ 1] Magnetic anomaly, swath bathymetry and gravity data from the southern Chatham Rise to Bollons Seamount region reveal a history of Cretaceous seafloor spreading in the mouth of the Bounty Trough starting at similar to 85 Ma followed by spreading ridge jumps back to the Marie Byrd Land Margin at 83.7 and 78.5 Ma. The latter ridge jump accompanied the rifting of the Bollons Seamount from the Marie Byrd Land margin. Interpreted magnetic anomalies indicate a pattern of highly asymmetric spreading prior to 78 Ma that varied in bias along the margin on a similar to 100 km length scale. Crustal thickening within the similar to 50 km Bollons Gap linking the Bollons Seamount to the Campbell Plateau is interpreted to be due to excess volcanism associated with the initial rifting - seafloor spreading process and possible thinned continental crust. The elevated 200 km long segment of Antipodes Fracture Zone southeast of Bollons Seamount has been exposed to varying styles of ridge end volcanism and possible normal compression associated with the development during chron 32n. 2n of a triple junction at its southeastern limit marking the Bellingshausen-Marie Byrd Land plate boundary.</t>
  </si>
  <si>
    <t>Inst Geol &amp; Nucl Sci, Lower Hutt, New Zealand</t>
  </si>
  <si>
    <t>GNS Science - New Zealand</t>
  </si>
  <si>
    <t>Davy, B (corresponding author), Inst Geol &amp; Nucl Sci, POB 30368, Lower Hutt, New Zealand.</t>
  </si>
  <si>
    <t>b.davy@gns.cri.nz</t>
  </si>
  <si>
    <t>Davy, Bryan W/I-6769-2013</t>
  </si>
  <si>
    <t>Davy, Bryan W/0000-0003-1926-1393</t>
  </si>
  <si>
    <t>JUN 29</t>
  </si>
  <si>
    <t>Q06021</t>
  </si>
  <si>
    <t>10.1029/2005GC001191</t>
  </si>
  <si>
    <t>062HS</t>
  </si>
  <si>
    <t>WOS:000238935800001</t>
  </si>
  <si>
    <t>Whitworth, T; Orsi, AH</t>
  </si>
  <si>
    <t>Whitworth, T., III; Orsi, A. H.</t>
  </si>
  <si>
    <t>Antarctic Bottom Water production and export by tides in the Ross Sea</t>
  </si>
  <si>
    <t>CIRCULATION; FRONTS; SLOPE; SHELF</t>
  </si>
  <si>
    <t>Current measurements in the western Ross Sea show that Antarctic Bottom Water is produced at the outer edge of the Continental Shelf by tidal stirring of Antarctic Surface Water, Circumpolar Deep Water and Shelf Water. Current amplitudes during spring tides are greater than 1 m/s, sufficient to carry Circumpolar Deep Water onto the shelf from offshore and stir at least the lower portion of the water column to a nearly homogeneous mixture. The Antarctic Bottom Water produced every day during spring tides does not appear to have a seasonal signal. Its export rate is estimated to be 1.95 +/- 1.85 x 10(6) m(3)/s.</t>
  </si>
  <si>
    <t>Texas A&amp;M Univ, Dept Oceanog, College Stn, TX 77843 USA</t>
  </si>
  <si>
    <t>Texas A&amp;M University System; Texas A&amp;M University College Station</t>
  </si>
  <si>
    <t>Whitworth, T (corresponding author), Texas A&amp;M Univ, Dept Oceanog, 3146 TAMU, College Stn, TX 77843 USA.</t>
  </si>
  <si>
    <t>twhitworth@tamu.edu</t>
  </si>
  <si>
    <t>JUN 28</t>
  </si>
  <si>
    <t>L12609</t>
  </si>
  <si>
    <t>10.1029/2006GL026357</t>
  </si>
  <si>
    <t>062ID</t>
  </si>
  <si>
    <t>WOS:000238936900005</t>
  </si>
  <si>
    <t>Inomata, Y; Hayashi, M; Osada, K; Iwasaka, Y</t>
  </si>
  <si>
    <t>Inomata, Yayoi; Hayashi, Masahiko; Osada, Kazuo; Iwasaka, Yasunobu</t>
  </si>
  <si>
    <t>Spatial distributions of volatile sulfur compounds in surface seawater and overlying atmosphere in the northwestern Pacific Ocean, eastern Indian Ocean, and Southern Ocean</t>
  </si>
  <si>
    <t>GLOBAL BIOGEOCHEMICAL CYCLES</t>
  </si>
  <si>
    <t>MARINE BOUNDARY-LAYER; CARBONYL SULFIDE; DIMETHYL SULFIDE; PHOTOCHEMICAL PRODUCTION; HYDROGEN-SULFIDE; ALGAL PIGMENTS; SEA-SURFACE; DMS; ICE; PHYTOPLANKTON</t>
  </si>
  <si>
    <t>[ 1] Distributions of volatile sulfur compounds ( carbonyl sulfide ( COS), carbon disulfide (CS2), hydrogen sulfide (H2S), dimethyl sulfide (DMS)) in surface seawater and overlying atmosphere were measured in the northwestern Pacific, eastern Indian, and Southern Oceans (40 degrees N - 66 degrees S, 40 degrees E - 140 degrees E) in November - December 1996 during the 38th Japanese Antarctic Research Expedition cruise. Seawater measurements revealed that DMS was the dominant sulfur compound, with concentrations of 0.5 - 15.8 nM. High values were found in the Southern Ocean's marginal ice zone (84 degrees E - 63 degrees E, 59 degrees S - 63 degrees S), suggesting that the area during the bloom acts as an important source of atmospheric DMS. Atmospheric concentrations were 456 - 471 pptv for OCS, n. d. ( not detected level) - 13 pptv for CS2, n. d. - 17 pptv for H2S, and n. d. - 755 pptv for DMS. Concentrations of OCS were nearly constant. Concentrations of CS2 and H2S were high in terrigenic air masses and low in those of oceanic origin. Comparison of atmospheric DMS data and a steady state box model using sea-to-air fluxes of DMS and assumed OH radical concentrations revealed that atmospheric DMS concentrations in the equatorial region and most of the Southern Ocean were balanced with local oceanic emission residues and photochemical oxidation. Simultaneous measurements in the atmosphere showed DMS was the dominant sulfur gas that was oxidized rapidly to sulfate aerosols in the marine atmosphere.</t>
  </si>
  <si>
    <t>Nagoya Univ, Solar Terr Environm Lab, Nagoya, Aichi, Japan; Meteorol Res Inst, Climate Res Dept, Ibaraki, Japan</t>
  </si>
  <si>
    <t>Nagoya University; Meteorological Research Institute - Japan</t>
  </si>
  <si>
    <t>Inomata, Y (corresponding author), Kanazawa Univ, COE Program 21, Kanazawa, Ishikawa 9208667, Japan.</t>
  </si>
  <si>
    <t>climate5@mri-jma.go.jp; mhayashi@fukuoka-u.ac.jp; kosada@nagoya-u.jp; kosa@t.kanazawa-u.ac.jp</t>
  </si>
  <si>
    <t>Osada, Kazuo/I-6395-2014</t>
  </si>
  <si>
    <t>Osada, Kazuo/0000-0003-3100-5835</t>
  </si>
  <si>
    <t>0886-6236</t>
  </si>
  <si>
    <t>1944-9224</t>
  </si>
  <si>
    <t>GLOBAL BIOGEOCHEM CY</t>
  </si>
  <si>
    <t>Glob. Biogeochem. Cycle</t>
  </si>
  <si>
    <t>GB2022</t>
  </si>
  <si>
    <t>10.1029/2005GB002518</t>
  </si>
  <si>
    <t>Environmental Sciences; Geosciences, Multidisciplinary; Meteorology &amp; Atmospheric Sciences</t>
  </si>
  <si>
    <t>Environmental Sciences &amp; Ecology; Geology; Meteorology &amp; Atmospheric Sciences</t>
  </si>
  <si>
    <t>062IO</t>
  </si>
  <si>
    <t>WOS:000238938000001</t>
  </si>
  <si>
    <t>Maddison, EJ; Pike, J; Leventer, A; Dunbar, R; Brachfeld, S; Domack, EW; Manley, P; McClennen, C</t>
  </si>
  <si>
    <t>Maddison, Eleanor J.; Pike, Jennifer; Leventer, Amy; Dunbar, Robert; Brachfeld, Stefanie; Domack, Eugene W.; Manley, Patricia; McClennen, Charles</t>
  </si>
  <si>
    <t>Post-glacial seasonal diatom record of the Mertz Glacier Polynya, East Antarctica</t>
  </si>
  <si>
    <t>MARINE MICROPALEONTOLOGY</t>
  </si>
  <si>
    <t>Mertz Ninnis Trough; Mertz Glacier Polynya; seasonality; diatoms; laminated; East Antarctica</t>
  </si>
  <si>
    <t>WATER-COLUMN ASSEMBLAGES; WILKES LAND MARGIN; SEA ICE BIOTA; SOUTHERN-OCEAN; WEDDELL SEA; ROSS SEA; CONTINENTAL-SHELF; BOTTOM WATER; ADELIE LAND; GEORGE-V</t>
  </si>
  <si>
    <t>An ultra-high-resolution post-glacial laminated sediment record from Mertz Ninnis Trough, East Antarctic Margin (EAM), has been analysed using SEM backscattered electron imagery, secondary electron imagery and quantitative diatom abundance. Laminations are classified using visually dominant diatom species and terrigenous content. Four biogenic diatom ooze laminae types, one diatom-bearing terrigenous lamina type and one diatom-bearing terrigenous sub-lamina type have been identified. Diatom ooze lamina types comprise near-monogeneric Hyalochaete Chaetoceros spp. resting spore laminae, laminae characterised by Corethron pennatum, laminae characterised by Rhizosolenia spp. and mixed diatom assemblage laminae. Diatom-bearing terrigenous lamina and sub-lamina types comprise mixed diatom assemblage terrigenous laminae and sub-laminae characterised by Porosira glacialis resting spores. Formation of each of these lamina types is controlled by seasonal changes in nutrients, oceanographic regimes and the Mertz Glacier Polynya dynamics. (c) 2006 Elsevier B.V. All rights reserved.</t>
  </si>
  <si>
    <t>Cardiff Univ, Sch Earth Ocean &amp; Planetary Sci, Cardiff CF10 3YE, Wales; Colgate Univ, Dept Geol, Hamilton, NY 13346 USA; Stanford Univ, Dept Geol &amp; Environm Sci, Stanford, CA 94305 USA; Montclair State Univ, Dept Earth &amp; Environm Studies, Montclair, NJ 07043 USA; Hamilton Coll, Dept Geol, Clinton, NY 13323 USA; Middlebury Coll, Dept Geol, Middlebury, VT 05753 USA</t>
  </si>
  <si>
    <t>Cardiff University; Colgate University; Stanford University; Montclair State University; Hamilton College</t>
  </si>
  <si>
    <t>Maddison, EJ (corresponding author), Open Univ, Dept Earth Sci, Walton Hall, Milton Keynes MK7 6AA, Bucks, England.</t>
  </si>
  <si>
    <t>e.j.maddison@open.ac.uk; PikeJ@cf.ac.uk; aleventer@mail.colgate.edu; dunbar@stanford.edu; brachfelds@mail.montclair.edu; cdomack@hamilton.edu; patmanley@middlebury.edu; cmcclennen@mail.colgate.edu</t>
  </si>
  <si>
    <t>Pike, Jennifer/D-2589-2009</t>
  </si>
  <si>
    <t>Pike, Jennifer/0000-0001-9415-6003; Brachfeld, Stefanie/0000-0003-4612-2866; Leventer, Amy/0000-0001-9401-0987; Dunbar, Robert/0000-0002-9728-5609</t>
  </si>
  <si>
    <t>Natural Environment Research Council [NER/A/S/2001/01106] Funding Source: researchfish</t>
  </si>
  <si>
    <t>0377-8398</t>
  </si>
  <si>
    <t>1872-6186</t>
  </si>
  <si>
    <t>MAR MICROPALEONTOL</t>
  </si>
  <si>
    <t>Mar. Micropaleontol.</t>
  </si>
  <si>
    <t>JUN 27</t>
  </si>
  <si>
    <t>10.1016/j.marmicro.2006.03.001</t>
  </si>
  <si>
    <t>Paleontology</t>
  </si>
  <si>
    <t>060MR</t>
  </si>
  <si>
    <t>WOS:000238806800004</t>
  </si>
  <si>
    <t>Mathur, AK; Asthana, R; Ravindra, R</t>
  </si>
  <si>
    <t>Mathur, Anil K.; Asthana, R.; Ravindra, Rasik</t>
  </si>
  <si>
    <t>Arcellaceans (thecamoebians) from core sediments of Priyadarshini Lake, Schirmacher Oasis, Eastern Antarctica</t>
  </si>
  <si>
    <t>CURRENT SCIENCE</t>
  </si>
  <si>
    <t>FRESH-WATER LAKE; CANADA</t>
  </si>
  <si>
    <t>Geol Survey India, Antarctic Div, Faridabad 121001, India; Geol Survey India, Lucknow 226024, Uttar Pradesh, India</t>
  </si>
  <si>
    <t>Geological Survey India; Geological Survey India</t>
  </si>
  <si>
    <t>Ravindra, R (corresponding author), Geol Survey India, Antarctic Div, NH-5P,NIT, Faridabad 121001, India.</t>
  </si>
  <si>
    <t>antgsi@vsnl.net</t>
  </si>
  <si>
    <t>0011-3891</t>
  </si>
  <si>
    <t>CURR SCI INDIA</t>
  </si>
  <si>
    <t>Curr. Sci.</t>
  </si>
  <si>
    <t>JUN 25</t>
  </si>
  <si>
    <t>061LG</t>
  </si>
  <si>
    <t>WOS:000238873300014</t>
  </si>
  <si>
    <t>Khare, N; Nigam, R</t>
  </si>
  <si>
    <t>Khare, N.; Nigam, R.</t>
  </si>
  <si>
    <t>Can the possibility of some linkage of monsoonal precipitation with solar variability be ignored? Indications from foraminiferal proxy records</t>
  </si>
  <si>
    <t>benthic and planktonic foraminifera; monsoonal variability; palaeoclimate; solar variability</t>
  </si>
  <si>
    <t>RIVER DISCHARGE; CLIMATE; FLUCTUATIONS; ASSEMBLAGES; ICELAND; INDIA; LAKE; BP</t>
  </si>
  <si>
    <t>Foraminiferal studies on a shallow water sediment core off Karwar, central west coast of India have revealed significant changes in the monsoonal precipitation during the last around 720 years. The results hint towards some possibility of linkage of monsoonal precipitation with solar variability during this period.</t>
  </si>
  <si>
    <t>Natl Ctr Antarctic &amp; Ocean Res, Vasco Da Gama 403804, Goa, India; Natl Inst Oceanog, Panaji 403004, Goa, India</t>
  </si>
  <si>
    <t>Ministry of Earth Sciences (MoES) - India; National Centre for Polar and Ocean Research (NCPOR); Council of Scientific &amp; Industrial Research (CSIR) - India; CSIR - National Institute of Oceanography (NIO)</t>
  </si>
  <si>
    <t>Khare, N (corresponding author), Natl Ctr Antarctic &amp; Ocean Res, Vasco Da Gama 403804, Goa, India.</t>
  </si>
  <si>
    <t>nkhare@ncaor.org</t>
  </si>
  <si>
    <t>CURRENT SCIENCE ASSN</t>
  </si>
  <si>
    <t>C V RAMAN AVENUE, PO BOX 8005, BANGALORE 560 080, INDIA</t>
  </si>
  <si>
    <t>WOS:000238873300027</t>
  </si>
  <si>
    <t>van de Flierdt, Tina; Hemming, Sidney R.; Goldstein, Steven L.; Abouchami, Wafa</t>
  </si>
  <si>
    <t>Radiogenic isotope fingerprint of Wilkes Land - Adelie Coast Bottom Water in the circum-Antarctic Ocean</t>
  </si>
  <si>
    <t>MANGANESE NODULES; CIRCULATION; NEODYMIUM; SOUTHERN; SEAWATER; HAFNIUM</t>
  </si>
  <si>
    <t>Wilkes Land - Adelie Coast Bottom Water encompasses the bottom waters formed around the coast of East Antarctica in the area east of Prydz Bay and west of the Ross Sea ( 90 degrees E - 150 degrees E). Here we show that these bottom waters have not only characteristic physical properties, but also carry a distinct radiogenic isotope signal that traces their dispersal. The Nd, Hf and Pb isotopic compositions of Circum-Antarctic ferromanganese nodules record the isotopic composition of ambient seawater. Those with the lowest Nd and Hf isotopic ratios and the highest Pb isotopic ratios are from the deep Australian- Antarctic Basin, and they fingerprint Wilkes Land - Adelie Coast Bottom Water. The data illustrate the potential value of these isotope systems as tracers of present and past deep and bottom waters in the Circum-Antarctic realm and elsewhere.</t>
  </si>
  <si>
    <t>Columbia Univ, Lamont Doherty Earth Observ, Palisades, NY 10964 USA; Columbia Univ, Dept Earth &amp; Environm Sci, Palisades, NY USA; Max Planck Inst Chem, D-55020 Mainz, Germany</t>
  </si>
  <si>
    <t>Columbia University; Columbia University; Max Planck Society</t>
  </si>
  <si>
    <t>van de Flierdt, T (corresponding author), Columbia Univ, Lamont Doherty Earth Observ, 61 Route 9W, Palisades, NY 10964 USA.</t>
  </si>
  <si>
    <t>Hemming, Sidney/0000-0001-8117-2303; Goldstein, Steven L/0000-0001-7252-8064</t>
  </si>
  <si>
    <t>JUN 24</t>
  </si>
  <si>
    <t>L12606</t>
  </si>
  <si>
    <t>10.1029/2006GL026020</t>
  </si>
  <si>
    <t>057LR</t>
  </si>
  <si>
    <t>WOS:000238597800002</t>
  </si>
  <si>
    <t>Kelly, MJ; Edwards, RL; Cheng, H; Yuan, DX; Cai, YJ; Zhang, ML; Lin, YS; An, ZS</t>
  </si>
  <si>
    <t>Kelly, Megan J.; Edwards, R. Lawrence; Cheng, Hai; Yuan, Daoxian; Cai, Yanjun; Zhang, Meiliang; Lin, Yushi; An, Zhisheng</t>
  </si>
  <si>
    <t>High resolution characterization of the Asian Monsoon between 146,000 and 99,000 years BP from Dongge Cave, China and global correlation of events surrounding Termination II</t>
  </si>
  <si>
    <t>PALAEOGEOGRAPHY PALAEOCLIMATOLOGY PALAEOECOLOGY</t>
  </si>
  <si>
    <t>Fall Meeting of the American-Geophysical-Union</t>
  </si>
  <si>
    <t>DEC 08-12, 2003</t>
  </si>
  <si>
    <t>San Francisco, CA</t>
  </si>
  <si>
    <t>speleothems; monsoon; U-Th dating; oxygen isotopes; Termination II</t>
  </si>
  <si>
    <t>LAST GLACIAL PERIOD; VOSTOK ICE CORE; ATMOSPHERIC METHANE; INTERGLACIAL PERIOD; ISOTOPIC COMPOSITION; LATE PLEISTOCENE; STABLE ISOTOPES; NORTH-ATLANTIC; CLIMATE-CHANGE; SEA-LEVEL</t>
  </si>
  <si>
    <t>Speleothem samples from Hulu (eastern China, 32 degrees 30'N, 119 degrees 10'E) and Dongge (southern China, 25 degrees 17'N, 108 degrees 5'E) Caves provide a nearly continuous record of the Asian monsoon over the last 160 ka [Wang, Y.J., Cheng, H., Edwards, R.L., An, Z.S., Wu, J.Y., Shen, C.-C., Dorale, J.A., 2001. A high-resolution absolute-dated Late Pleistocene monsoon record from Hulu Cave, China. Science 294, 2345-2348; Yuan, D., Cheng, H., Edwards, R.L., Dykoski, C.A., Kelly, M.J., Zhang, M., Qing, J., Lin, Y, Wang, Y, Wu, J., Dorale, J.A., An, Z., Cai, Y., 2004. Timing, duration, and transitions of the last interglacial Asian Monsoon. Science 304, 575-578]. We have obtained higher resolution data in the interval between similar to 99 and 146 ka B.P., providing a detailed account of 6180 variations over most of MIS 5 and the latter portion of MIS 6. Precise Th-230 dating has replicated the chronology of the samples within error. The higher resolution data set confirms the timing of Asian Monsoon Termination II (the midpoint of the negative shift in 6180 marking the onset of the Last Interglacial Asian Monsoon), placing it at 129.0 +/- 0.9 ka B.P. The bulk of this transition (similar to 1.7 parts per thousand) took place within approximately 70 years, with the total range of the transition being similar to 3 parts per thousand. The most abrupt portion of the shift in delta O-18 values (similar to 1.1 parts per thousand) marking the end of the Last Interglacial Asian Monsoon occurred in similar to 120 years, the midpoint of which is 120.7 +/- 1.0 ka B.P. The Dongge Cave monsoon 6180 record over late MIS 6 exhibits a series of sub-orbital millennial-scale climate shifts that average 1.3 parts per thousand in magnitude and occur on average every 1.8 ky. Abrupt shifts in delta O-18 of up to 1 parts per thousand also occurred throughout the Last Interglacial Asian Monsoon, with periods at multi-decadal to centennial timescales. Similar to the amplitude and periodicities of events found by Dykoski et al. [Dykoski, C.A., Edwards, R.L., Cheng, H., Yuan, D., Cai, Y., Zhang, M., Lin, Y, An, Z., Revenaugh, J., 2005. A high resolution, absolute-dated Holocene and deglacial Asian monsoon record from Dongge Cave, China. Earth and Planetary Science Letters 233, 71-86.] during the Holocene in the Dongge record, these shifts cover more than 1/2 of the amplitude of millennial-scale and multi-centennial-scale interstadial events during the Last Glacial Period [Wang, Y.J., Cheng, H., Edwards, R.L., An, Z.S., Wu, J.Y., Shen, C.-C., Dorale, J.A., 2001. A high-resolution absolute-dated Late Pleistocene monsoon record from Hulu Cave, China. Science 294, 2345-2348], and millennial-scale and multi-centennial-scale interstadial events during the Penultimate Glacial Period in China (this study). Abrupt decadal to millennial-scale climate events therefore appear to be a general feature of both glacial and interglacial climate. We demonstrate that monsoon intensity correlates well with atmospheric CH4 concentrations over the transition into the Bolling-Allerod, the Bollin-Allerod, and the Younger Dryas. In addition, we correlate an abrupt jump in CH4 concentration with Asian Monsoon Termination II. On the basis of this correlation, we conclude that the rise in atmospheric Co-2, Antarctic warming, and the gradual portion of the rise in CH4 around Termination II occur within our Weak Monsoon Interval (WMI), an extended interval of heavy 6180 between 135.5 +/- 1.0 and 129.0 +/- 1.0 ka B.P., prior to Asian Monsoon Termination 11 and Northern Hemisphere warming. Antactic warming over the millennia immediately preceding abrupt northern warming may result from the bipolar seesaw mechanism. As such warming (albeit to a smaller extent) also preceded Asian Monsoon Termination 1, the bipolar seesaw mechanism may play a critical role in glacial terminations. (c) 2006 Elsevier B.V All rights reserved.</t>
  </si>
  <si>
    <t>Univ Minnesota, Dept Geol &amp; Geophys, Minneapolis, MN 55455 USA; Minist Land &amp; Resources, Karst Dynam Lab, Guilin 541004, Peoples R China; Chinese Acad Sci, State Key Lab Loess &amp; Quaternary Geol, Inst Earth Environm, Xian 710075, Peoples R China</t>
  </si>
  <si>
    <t>University of Minnesota System; University of Minnesota Twin Cities; Ministry of Natural Resources of the People's Republic of China; Chinese Academy of Sciences; Institute of Earth Environment, CAS</t>
  </si>
  <si>
    <t>Kelly, MJ (corresponding author), Univ Minnesota, Dept Geol &amp; Geophys, Minneapolis, MN 55455 USA.</t>
  </si>
  <si>
    <t>kell0738@umn.edu</t>
  </si>
  <si>
    <t>AN, Zhisheng/F-8834-2012; CHENG, HAI/H-3413-2017; Edwards, Richard/JAX-3732-2023; Edwards, R. Lawrence/I-3124-2014; Cai, Yanjun/A-9462-2010</t>
  </si>
  <si>
    <t>CHENG, HAI/0000-0002-5305-9458; Cai, Yanjun/0000-0001-7063-5050; An, Zhisheng/0000-0002-9538-9826</t>
  </si>
  <si>
    <t>0031-0182</t>
  </si>
  <si>
    <t>1872-616X</t>
  </si>
  <si>
    <t>PALAEOGEOGR PALAEOCL</t>
  </si>
  <si>
    <t>Paleogeogr. Paleoclimatol. Paleoecol.</t>
  </si>
  <si>
    <t>JUN 23</t>
  </si>
  <si>
    <t>10.1016/j.palaeo.2005.11.042</t>
  </si>
  <si>
    <t>Geography, Physical; Geosciences, Multidisciplinary; Paleontology</t>
  </si>
  <si>
    <t>Physical Geography; Geology; Paleontology</t>
  </si>
  <si>
    <t>059QB</t>
  </si>
  <si>
    <t>WOS:000238746200003</t>
  </si>
  <si>
    <t>Leaper, R; Cooke, J; Trathan, P; Reid, K; Rowntree, V; Payne, R</t>
  </si>
  <si>
    <t>Leaper, Russell; Cooke, Justin; Trathan, Phil; Reid, Keith; Rowntree, Victoria; Payne, Roger</t>
  </si>
  <si>
    <t>Global climate drives southern right whale (Eubalaena australis) population dynamics</t>
  </si>
  <si>
    <t>BIOLOGY LETTERS</t>
  </si>
  <si>
    <t>ENSO; right whale; Antarctic krill; South Georgia; interannual variability; sea surface temperature</t>
  </si>
  <si>
    <t>VARIABILITY; ABUNDANCE</t>
  </si>
  <si>
    <t>Sea surface temperature (SST) time-series from the southwest Atlantic and the El Nino 4 region in the western Pacific were compared to an index of annual calving success of the southern right whale (Eubalaena australis) breeding in Argentina. There was a strong relationship between right whale calving output and SST anomalies at South Georgia in the autumn of the previous year and also with mean El Nino 4 SST anomalies delayed by 6 years. These results extend similar observations from other krill predators and show clear linkages between global climate signals and the biological processes affecting whale population dynamics.</t>
  </si>
  <si>
    <t>Int Fund Anim Welf, London 1 7UD, England; Ctr Ecosyst Management Studies, D-79297 Winden, Germany; British Antarctic Survey, Cambridge CB3 0ET, England; Univ Utah, Dept Biol, Salt Lake City, UT 84112 USA; Ocean Alliance, Lincoln, MA 01773 USA</t>
  </si>
  <si>
    <t>UK Research &amp; Innovation (UKRI); Natural Environment Research Council (NERC); NERC British Antarctic Survey; Utah System of Higher Education; University of Utah</t>
  </si>
  <si>
    <t>Leaper, R (corresponding author), Int Fund Anim Welf, 87-90 Albert Embankment, London 1 7UD, England.</t>
  </si>
  <si>
    <t>russell@ivyt.demon.co.uk</t>
  </si>
  <si>
    <t>1744-9561</t>
  </si>
  <si>
    <t>1744-957X</t>
  </si>
  <si>
    <t>BIOL LETTERS</t>
  </si>
  <si>
    <t>Biol. Lett.</t>
  </si>
  <si>
    <t>JUN 22</t>
  </si>
  <si>
    <t>10.1098/rsbl.2005.0431</t>
  </si>
  <si>
    <t>103CE</t>
  </si>
  <si>
    <t>WOS:000241862500034</t>
  </si>
  <si>
    <t>Cherel, Y; Phillips, RA; Hobson, KA; McGill, R</t>
  </si>
  <si>
    <t>Cherel, Y.; Phillips, Richard A.; Hobson, Keith A.; McGill, Rona</t>
  </si>
  <si>
    <t>Stable isotope evidence of diverse species-specific and individual wintering strategies in seabirds</t>
  </si>
  <si>
    <t>moulting period; individual specialization; procellariiform seabird; Southern Ocean; Antarctica</t>
  </si>
  <si>
    <t>SOUTHERN INDIAN-OCEAN; ILES-KERGUELEN; NONBREEDING ALBATROSSES; FEEDING ECOLOGY; CLIMATE; PETREL; CONSERVATION; SURVIVAL; DIET</t>
  </si>
  <si>
    <t>Although there is increasing evidence that climatic variations during the non-breeding season shape population dynamics of seabirds, most aspects of their winter distribution and ecology remain essentially unknown. We used stable isotope signatures in feathers to infer and compare the moulting (wintering) habitat of subantarctic petrels breeding at two distant localities (South Georgia and Kerguelen). Petrels showed species-specific wintering habitat preferences, with a similar pattern of latitudinal segregation for all but one taxon. At both localities, delta(13)C values indicated that blue petrels (Halobaena caerulea) moult in Antarctic waters, South Georgian diving petrels (Pelecanoides georgicus) in the vicinity of the archipelagos and/or in the Polar Frontal Zone and Antarctic prions (Pachyptila desolata) in warmer waters. In contrast, common diving petrels (Pelecanoides urinatrix) showed divergent strategies, with low and high intrapopulation variation at South Georgia and Kerguelen, respectively. Birds from Kerguelen dispersed over a much wider range of habitats, from coastal to oceanic waters and from Antarctica to the subtropics, whereas those from South Georgia wintered mainly in waters around the archipelago. This study is the first to show such striking between-population heterogeneity in individual wintering strategies, which could have important implications for likely demographic responses to environmental perturbation.</t>
  </si>
  <si>
    <t>CNRS, Ctr Etud Biol Chize, UPR 1934, F-79360 Villiers En Bois, France; British Antarctic Survey, NERC, Cambridge CB3 0ET, England; Environm Canada, Prairie &amp; No Wildlife Res Ctr, Saskatoon, SK S7N 0X4, Canada; Scottish Univ, Environm Res Ctr, E Kilbride G75 0QF, Lanark, Scotland</t>
  </si>
  <si>
    <t>Centre National de la Recherche Scientifique (CNRS); UK Research &amp; Innovation (UKRI); Natural Environment Research Council (NERC); NERC British Antarctic Survey; Environment &amp; Climate Change Canada; Scottish Universities Research &amp; Reactor Center</t>
  </si>
  <si>
    <t>Cherel, Y (corresponding author), CNRS, Ctr Etud Biol Chize, UPR 1934, BP 14, F-79360 Villiers En Bois, France.</t>
  </si>
  <si>
    <t>cherel@cebc.cnrs.fr</t>
  </si>
  <si>
    <t>Bond, Alexander L/A-3786-2010; McGill, Rona/JAC-6969-2023; McGill, Rona/F-1793-2010; Hobson, Keith/Q-9306-2019</t>
  </si>
  <si>
    <t>McGill, Rona/0000-0003-0400-7288;</t>
  </si>
  <si>
    <t>10.1098/rsbl.2006.0445</t>
  </si>
  <si>
    <t>WOS:000241862500037</t>
  </si>
  <si>
    <t>Kurbatov, AV; Zielinski, GA; Dunbar, NW; Mayewski, PA; Meyerson, EA; Sneed, SB; Taylor, KC</t>
  </si>
  <si>
    <t>Kurbatov, A. V.; Zielinski, G. A.; Dunbar, N. W.; Mayewski, P. A.; Meyerson, E. A.; Sneed, S. B.; Taylor, K. C.</t>
  </si>
  <si>
    <t>A 12,000 year record of explosive volcanism in the Siple Dome Ice Core, West Antarctica</t>
  </si>
  <si>
    <t>HOLOCENE ERUPTIVE ACTIVITY; EL CHICHON VOLCANO; EAST ANTARCTICA; ATMOSPHERIC CIRCULATION; TEPHRA LAYERS; ACCUMULATION RATE; CLIMATE-CHANGE; GREENLAND; SULFATE; PROJECT</t>
  </si>
  <si>
    <t>[ 1] Air mass trajectories in the Southern Hemisphere provide a mechanism for transport to and deposition of volcanic products on the Antarctic ice sheet from local volcanoes and from tropical and subtropical volcanic centers. This study extends the detailed record of Antarctic, South American, and equatorial volcanism over the last 12,000 years using continuous glaciochemical series developed from the Siple Dome A (SDMA) ice core, West Antarctica. The largest volcanic sulfate spike ( 280 mu g/L) occurs at 5881 B. C. E. Other large signals with unknown sources are observed around 325 B. C. E. ( 270 mu g/L) and 2818 B. C. E. ( 191 mu g/L). Ages of several large equatorial or Southern Hemisphere volcanic eruptions are synchronous with many sulfate peaks detected in the SDMA volcanic ice chemistry record. The microprobe fingerprinting'' of glass shards in the SDMA core points to the following Antarctic volcanic centers as sources of tephra found in the SDMA core: Balenny Island, Pleiades, Mount Berlin, Mount Takahe, and Mount Melbourne as well as Mount Hudson and possibly Mount Burney volcanoes of South America. Identified volcanic sources provide an insight into the poorly resolved transport history of volcanic products from source volcanoes to the West Antarctic ice sheet.</t>
  </si>
  <si>
    <t>Univ Maine, Bryand Global Sci Ctr 303, Climate Change Inst, Orono, ME 04469 USA; New Mexico Inst Min &amp; Technol, New Mexico Bur Geol &amp; Mineral Resources, Socorro, NM 87801 USA; Univ Nevada, Desert Res Inst, Reno, NV 89511 USA</t>
  </si>
  <si>
    <t>University of Maine System; University of Maine Orono; New Mexico Institute of Mining Technology; Nevada System of Higher Education (NSHE); University of Nevada Reno; Desert Research Institute NSHE</t>
  </si>
  <si>
    <t>Kurbatov, AV (corresponding author), Univ Maine, Bryand Global Sci Ctr 303, Climate Change Inst, Orono, ME 04469 USA.</t>
  </si>
  <si>
    <t>akurbatov@maine.edu; gzielinski@maine.edu; nelia@nmt.edu; paul.mayewski@maine.edu; eric.meyerson@maine.edu; sharon.sneed@maine.edu; kendrick@dri.edu</t>
  </si>
  <si>
    <t>Dunbar, Nelia W./HZL-8693-2023; Mayewski, Paul Andrew/HRD-6969-2023; Taylor, Kendrick/A-3469-2016</t>
  </si>
  <si>
    <t>Dunbar, Nelia W./0000-0002-5181-937X; Taylor, Kendrick/0000-0001-8535-1261; Kurbatov, Andrei/0000-0002-9819-9251</t>
  </si>
  <si>
    <t>D12307</t>
  </si>
  <si>
    <t>10.1029/2005JD006072</t>
  </si>
  <si>
    <t>057MD</t>
  </si>
  <si>
    <t>WOS:000238599000001</t>
  </si>
  <si>
    <t>Marinov, I; Gnanadesikan, A; Toggweiler, JR; Sarmiento, JL</t>
  </si>
  <si>
    <t>The Southern Ocean biogeochemical divide</t>
  </si>
  <si>
    <t>NATURE</t>
  </si>
  <si>
    <t>ATMOSPHERIC CO2; THERMOHALINE CIRCULATION; CARBON-DIOXIDE; HIGH-LATITUDE; MODELS; VENTILATION; THERMOCLINE; WATER; PUMP</t>
  </si>
  <si>
    <t>Modelling studies have demonstrated that the nutrient and carbon cycles in the Southern Ocean play a central role in setting the air - sea balance of CO2 and global biological production(1-8). Box model studies(1-4) first pointed out that an increase in nutrient utilization in the high latitudes results in a strong decrease in the atmospheric carbon dioxide partial pressure (p(CO2)). This early research led to two important ideas: high latitude regions are more important in determining atmospheric p(CO2) than low latitudes, despite their much smaller area, and nutrient utilization and atmospheric p(CO2) are tightly linked. Subsequent general circulation model simulations show that the Southern Ocean is the most important high latitude region in controlling preindustrial atmospheric CO2 because it serves as a lid to a larger volume of the deep ocean(5,6). Other studies point out the crucial role of the Southern Ocean in the uptake and storage of anthropogenic carbon dioxide(7) and in controlling global biological production(8). Here we probe the system to determine whether certain regions of the Southern Ocean are more critical than others for air - sea CO2 balance and the biological export production, by increasing surface nutrient drawdown in an ocean general circulation model. We demonstrate that atmospheric CO2 and global biological export production are controlled by different regions of the Southern Ocean. The air - sea balance of carbon dioxide is controlled mainly by the biological pump and circulation in the Antarctic deep-water formation region, whereas global export production is controlled mainly by the biological pump and circulation in the Subantarctic intermediate and mode water formation region. The existence of this biogeochemical divide separating the Antarctic from the Subantarctic suggests that it may be possible for climate change or human intervention to modify one of these without greatly altering the other.</t>
  </si>
  <si>
    <t>Princeton Univ, Atmospher &amp; Ocean Sci Program, Princeton, NJ 08540 USA; NOAA, Geophys Fluid Dynam Lab, Princeton, NJ 08542 USA</t>
  </si>
  <si>
    <t>National Oceanic Atmospheric Admin (NOAA) - USA; Princeton University; National Oceanic Atmospheric Admin (NOAA) - USA</t>
  </si>
  <si>
    <t>Marinov, I (corresponding author), MIT, Program Atmospheres Oceans &amp; Climate, 77 Massachusetts Ave, Cambridge, MA 02139 USA.</t>
  </si>
  <si>
    <t>imarinov@mit.edu</t>
  </si>
  <si>
    <t>Gnanadesikan, Anand/A-2397-2008; Toggweiler, J. R./O-5883-2019</t>
  </si>
  <si>
    <t>Toggweiler, J. R./0000-0001-6345-5756; Gnanadesikan, Anand/0000-0001-5784-1116</t>
  </si>
  <si>
    <t>0028-0836</t>
  </si>
  <si>
    <t>Nature</t>
  </si>
  <si>
    <t>10.1038/nature04883</t>
  </si>
  <si>
    <t>055AT</t>
  </si>
  <si>
    <t>WOS:000238422300038</t>
  </si>
  <si>
    <t>Esler, JG; Polvani, LM; Scott, RK</t>
  </si>
  <si>
    <t>Esler, J. G.; Polvani, L. M.; Scott, R. K.</t>
  </si>
  <si>
    <t>The Antarctic stratospheric sudden warming of 2002: A self-tuned resonance?</t>
  </si>
  <si>
    <t>POLAR VORTEX; SOUTHERN-HEMISPHERE; SIMULATIONS; EVOLUTION; DYNAMICS; WAVES</t>
  </si>
  <si>
    <t>The extraordinary Antarctic stratospheric warming event of 2002 was characterized by a remarkable vertical structure, with the vortex observed to divide at upper levels in the stratosphere but not at lower levels: such 'partially' split vortex events are relatively rare. A simple, yet fully three-dimensional, model is constructed to investigate the dynamics of this unique event. Planetary waves are excited on the model vortex edge by a lower boundary forcing characterized by two parameters: an amplitude h(F) and a frequency omega(F), measured relative to a stationary frame. For realistic forcing amplitudes, a partial vortex split resembling that observed during the 2002 event is found only within a specific, narrow band of forcing frequencies. Exploiting the relative simplicity of our model, these frequencies are shown to be those causing a 'self-tuning' resonant excitation of the gravest linear mode, during which nonlinear feedback causes an initially off-resonant forcing to approach resonance.</t>
  </si>
  <si>
    <t>UCL, Dept Math, London WC1E 6BT, England; Columbia Univ, Dept Appl Phys &amp; Appl Math, New York, NY 10027 USA; NW Res Associates Inc, Bellevue, WA 98007 USA</t>
  </si>
  <si>
    <t>University of London; University College London; Columbia University; NorthWest Research Associates</t>
  </si>
  <si>
    <t>Esler, JG (corresponding author), UCL, Dept Math, 25 Gower St, London WC1E 6BT, England.</t>
  </si>
  <si>
    <t>gavin@math.ucl.ac.uk</t>
  </si>
  <si>
    <t>Polvani, Lorenzo M/E-5949-2011; Esler, James G/I-8960-2012</t>
  </si>
  <si>
    <t>JUN 21</t>
  </si>
  <si>
    <t>L12804</t>
  </si>
  <si>
    <t>10.1029/2006GL026034</t>
  </si>
  <si>
    <t>057LL</t>
  </si>
  <si>
    <t>WOS:000238597200003</t>
  </si>
  <si>
    <t>Collings, A; Williams, RN; Young, N; Hyland, G</t>
  </si>
  <si>
    <t>A semi-automated line tracing technique for monitoring ice margins in Antarctic images</t>
  </si>
  <si>
    <t>INTERNATIONAL JOURNAL OF REMOTE SENSING</t>
  </si>
  <si>
    <t>ACTIVE CONTOUR MODEL; SEGMENTATION</t>
  </si>
  <si>
    <t>The current shape and rate of change of the margins of the Antarctic ice sheet are poorly known. Since polar regions are inhospitable, remotely sensed images provide an invaluable data source for studying the ice margin. These images can be examined by a human expert or processed automatically by a computer. This paper describes the design and implementation of a semi-automated technique to trace ice margins in Synthetic Aperture Radar images. The technique is based on a deformable contour model derived from the Kass et al. active contour model and Lobregt and Viergever's discrete dynamic contour. The contour is initialized by the user, to approximate the margin, and the deformation process causes the contour to accurately mould itself to the shape of the margin. The technique has been tested on a number of different images, with acceptable results in most cases.</t>
  </si>
  <si>
    <t>Univ Tasmania, Sch Comp, Hobart, Tas 7250, Australia; Univ Tasmania, Sch Comp, Launceston, Tas 7250, Australia; Univ Tasmania, Australian Antarctic Div, Hobart, Tas 7001, Australia; Univ Tasmania, Antarctic Climate &amp; Ecosyst Cooperat Res Ctr, Hobart, Tas 7001, Australia</t>
  </si>
  <si>
    <t>University of Tasmania; University of Tasmania; Australian Antarctic Division; University of Tasmania; Antarctic Climate &amp; Ecosystems Cooperative Research Centre (ACE CRC); University of Tasmania</t>
  </si>
  <si>
    <t>Williams, RN (corresponding author), Univ Tasmania, Sch Comp, Private Bag 100, Hobart, Tas 7250, Australia.</t>
  </si>
  <si>
    <t>R.Williams@utas.edu.au</t>
  </si>
  <si>
    <t>Williams, Raymond/J-6104-2012; williams, Ray/HSE-3267-2023</t>
  </si>
  <si>
    <t>Young, Neal/0000-0001-9729-3273</t>
  </si>
  <si>
    <t>0143-1161</t>
  </si>
  <si>
    <t>1366-5901</t>
  </si>
  <si>
    <t>INT J REMOTE SENS</t>
  </si>
  <si>
    <t>Int. J. Remote Sens.</t>
  </si>
  <si>
    <t>JUN 20</t>
  </si>
  <si>
    <t>10.1080/01431160500264444</t>
  </si>
  <si>
    <t>Remote Sensing; Imaging Science &amp; Photographic Technology</t>
  </si>
  <si>
    <t>029PG</t>
  </si>
  <si>
    <t>WOS:000236576000011</t>
  </si>
  <si>
    <t>Moore, JK; Doney, SC</t>
  </si>
  <si>
    <t>Moore, J. Keith; Doney, Scott C.</t>
  </si>
  <si>
    <t>Remote sensing observations of ocean physical and biological properties in the region of the Southern Ocean Iron Experiment (SOFeX)</t>
  </si>
  <si>
    <t>SEA-SURFACE TEMPERATURE; ANTARCTIC POLAR FRONT; LAST GLACIAL MAXIMUM; ZONE COLOR SCANNER; SILICIC-ACID; PHYTOPLANKTON GROWTH; PACIFIC SECTOR; CELL-SIZE; ROSS SEA; CHLOROPHYLL</t>
  </si>
  <si>
    <t>[1] Satellite remote sensing estimates of surface chlorophyll, temperature, wind speed, and sea ice cover are examined in the region of the Southern Ocean Iron Experiment (SOFeX). Our objectives are to place SOFeX into a regional context and highlight regional mesoscale spatial and monthly temporal variability. SOFeX fertilized two patches with iron, one south of the Antarctic Polar Front (PF) and one north of the PF but south of the Subantarctic Front (SAF). Satellite-observable phytoplankton blooms developed in both patches. The spring sea ice retreat near the south patch site was delayed in the 2001 - 2002 season, in turn delaying the naturally occurring, modest spring bloom in this region. Ambient surface chlorophyll concentrations for the area surrounding the southern patch during January 2002 are low ( mean 0.26 mg/m(3)) compared with climatological January values (0.42 mg/m(3)). Regions east and west at similar latitudes exhibited higher mean chlorophyll concentrations (0.79 and 0.74 mg/m(3), respectively). These modest phytoplankton blooms were likely stimulated by melting sea ice via changes in the light-mixing regime and release of iron and were smaller in magnitude than the iron-induced bloom within the SOFeX southern patch (&gt; 3 mg/m(3)). Iron inputs from melting ice may drive much of the natural spatial and temporal variability within the seasonal ice zone. Mean chlorophyll concentrations surrounding the SOFeX northern patch site were similar to climatological values during the SOFeX season. The northern patch was stretched into a long, thin filament along the southern boundary of the SAF, likely increasing the mixing/dilution rate with surrounding waters.</t>
  </si>
  <si>
    <t>Univ Calif Irvine, Dept Earth Syst Sci, Irvine, CA 92617 USA; Woods Hole Oceanog Inst, Dept Marine Chem &amp; Geochem, Woods Hole, MA 02543 USA</t>
  </si>
  <si>
    <t>University of California System; University of California Irvine; Woods Hole Oceanographic Institution</t>
  </si>
  <si>
    <t>Moore, JK (corresponding author), Univ Calif Irvine, Dept Earth Syst Sci, 3214 Croul Hall, Irvine, CA 92617 USA.</t>
  </si>
  <si>
    <t>jkmoore@uci.edu</t>
  </si>
  <si>
    <t>Doney, Scott/F-9247-2010</t>
  </si>
  <si>
    <t>Doney, Scott/0000-0002-3683-2437</t>
  </si>
  <si>
    <t>JUN 17</t>
  </si>
  <si>
    <t>C6</t>
  </si>
  <si>
    <t>C06026</t>
  </si>
  <si>
    <t>10.1029/2005JC003289</t>
  </si>
  <si>
    <t>057CE</t>
  </si>
  <si>
    <t>Green Published, Bronze, Green Submitted</t>
  </si>
  <si>
    <t>WOS:000238571900002</t>
  </si>
  <si>
    <t>Hindmarsh, RCA; Vieli, GJMCL; Raymond, MJ; Gudmundsson, GH</t>
  </si>
  <si>
    <t>Hindmarsh, Richard C. A.; Vieli, Gwendolyn J. -M. C. Leysinger; Raymond, Melanie J.; Gudmundsson, G. Hilmar</t>
  </si>
  <si>
    <t>Draping or overriding: The effect of horizontal stress gradients on internal layer architecture in ice sheets</t>
  </si>
  <si>
    <t>JOURNAL OF GEOPHYSICAL RESEARCH-EARTH SURFACE</t>
  </si>
  <si>
    <t>GLACIERS; SURFACE</t>
  </si>
  <si>
    <t>[ 1] Internal isochronic layers in ice sheets sensed by radar show two characteristic relationships to the basal topography: Either they override it, with layers above the crests of rises lying essentially flat, or they drape over it, with the layers following rises and falls in basal topography. A mechanical theory is presented which shows that overriding is the expected behavior when topographic wavelengths are comparable with or less than the ice thickness, while draping occurs at longer wavelengths. This is shown with analytical perturbation solutions for Newtonian fluids, numerical perturbation solutions for nonlinear fluids, and finite element solutions for nonlinear fluids and large-amplitude variations. Bed variation from topography and changes in the basal boundary condition are considered, for fixed bed and sliding beds, as well as three-dimensional flows and thermomechanically coupled flows. In all cases, the dominant effect on draping/overriding is the wavelength of the topography or variation in basal boundary conditions. Results of these full mechanical system calculations are compared with those from the shallow ice approximation and the longitudinal stress approximation. Some calculations are carried out for zero accumulation, where the age of the ice and therefore isochrone geometry is not defined. It is shown that there is a close relationship between isochrones and streamlines, and that they behave similarly when bed wavelength divided by the ice thickness is small compared with the ratio of ice velocity and accumulation rate, which is a useful approximation. Numerical comparisons of isochrones and streamlines show them to be virtually coincident.</t>
  </si>
  <si>
    <t>British Antarctic Survey, Cambridge CB3 0ET, England; Univ Bristol, Sch Geog Sci, Bristol Glaciol Ctr, Bristol BS8 1SS, Avon, England; ETH, VAW, Lab Hydraul Hydrol &amp; Glaciol, CH-8092 Zurich, Switzerland</t>
  </si>
  <si>
    <t>UK Research &amp; Innovation (UKRI); Natural Environment Research Council (NERC); NERC British Antarctic Survey; University of Bristol; Swiss Federal Institutes of Technology Domain; ETH Zurich</t>
  </si>
  <si>
    <t>Hindmarsh, RCA (corresponding author), British Antarctic Survey, High Cross,Madingley Rd, Cambridge CB3 0ET, England.</t>
  </si>
  <si>
    <t>rcah@bas.ac.uk; g.leysinger-vieli@bristol.ac.uk; melanie.raymond@ethz.ch; ghg@bas.ac.uk</t>
  </si>
  <si>
    <t>Gudmundsson, Gudmundur Hilmar/F-6499-2012; Hindmarsh, Richard/N-1195-2019; Gudmundsson, Gudmundur Hilmar/AAU-5987-2020; Raymond Pralong, Mélanie/I-5000-2016</t>
  </si>
  <si>
    <t>Gudmundsson, Gudmundur Hilmar/0000-0003-4236-5369; Hindmarsh, Richard/0000-0003-1633-2416; Gudmundsson, Gudmundur Hilmar/0000-0003-4236-5369; Leysinger Vieli, Gwendolyn/0000-0003-1817-0641</t>
  </si>
  <si>
    <t>2169-9003</t>
  </si>
  <si>
    <t>2169-9011</t>
  </si>
  <si>
    <t>J GEOPHYS RES-EARTH</t>
  </si>
  <si>
    <t>J. Geophys. Res.-Earth Surf.</t>
  </si>
  <si>
    <t>JUN 16</t>
  </si>
  <si>
    <t>F2</t>
  </si>
  <si>
    <t>F02018</t>
  </si>
  <si>
    <t>10.1029/2005JF000309</t>
  </si>
  <si>
    <t>057BW</t>
  </si>
  <si>
    <t>Green Accepted, Green Published, Bronze</t>
  </si>
  <si>
    <t>WOS:000238571000001</t>
  </si>
  <si>
    <t>Misawa, K; Shih, CY; Reese, Y; Bogard, DD; Nyquist, LE</t>
  </si>
  <si>
    <t>Misawa, K.; Shih, C. -Y.; Reese, Y.; Bogard, D. D.; Nyquist, L. E.</t>
  </si>
  <si>
    <t>Rb-Sr, Sm-Nd and Ar-Ar isotopic systematics of Martian dunite Chassigny</t>
  </si>
  <si>
    <t>Martian meteorites; Rb-Sr; Sm-Nd; Ar-Ar; crystallization age; mantle source</t>
  </si>
  <si>
    <t>ANGRA-DOS-REIS; SNC METEORITES; EARLY DIFFERENTIATION; PARENT BODY; MARS; NAKHLITES; ABUNDANCES; COMPONENTS; CHRONOLOGY; EVOLUTION</t>
  </si>
  <si>
    <t>Isotopic analysis of the Martian meteorite Chassigny yields a Rb-Sr age of 1406 +/- 14 Ma with an initial Sr-87/Sr-86 ratio of 0.702251 +/- 0.000034, a Sm-Nd age of 1386 +/- 28 Ma with an initial epsilon(143Nd)-value of +16.9 +/- 0.3 and an Ar-39-Ar-40 age of 1360(+40)(-20) Ma. The concordance of these ages and the Rb-Sr and Sm-Nd initial isotopic signatures suggest that Chassigny crystallized from low Rb/Sr, light rare earth element depleted source materials similar to 1390 Ma ago. The ages and epsilon(143Nd)-values of Chassigny and the nakhlites Govenador Valadares and Lafayette overlap, suggesting that they could have come from very similar mantle sources. Nakhla, Northwest Africa 998 and Yamato 000593 appear to be from similar but distinct sources. Chassigny and all nakhlites so far studied have undergone similar evolution histories. That is, chassignites/nakhlites were derived from a region where volcanism lasted at least 50 Ma and crystallized from different lava flows or subsurface sills. They probably were launched from Mars by a single impact event. The trapped Martian atmospheric Ar-40/Ar-36 ratios in Chassigny, nakhlites and shergottite impact glass are similar and possibly indicate minimal change in this ratio over the past &gt;= 600 Ma. (c) 2006 Elsevier B.V. All rights reserved.</t>
  </si>
  <si>
    <t>Natl Inst Polar Res, Antarctic Meteorite Res Ctr, Tokyo 1738515, Japan; Grad Univ Adv Studies, Sch Multidisciplinary Sci, Tokyo 1738515, Japan; ESCG Jacobs Sverdrup, Houston, TX 77058 USA; ESCG Muniz Engn, Houston, TX 77058 USA; NASA, Lyndon B Johnson Space Ctr, ARES, Houston, TX 77058 USA</t>
  </si>
  <si>
    <t>Research Organization of Information &amp; Systems (ROIS); National Institute of Polar Research (NIPR) - Japan; Graduate University for Advanced Studies - Japan; National Aeronautics &amp; Space Administration (NASA); NASA Johnson Space Center</t>
  </si>
  <si>
    <t>Misawa, K (corresponding author), Natl Inst Polar Res, Antarctic Meteorite Res Ctr, 1-9-10 Kaga, Tokyo 1738515, Japan.</t>
  </si>
  <si>
    <t>JUN 15</t>
  </si>
  <si>
    <t>10.1016/j.epsl.2006.03.044</t>
  </si>
  <si>
    <t>066AE</t>
  </si>
  <si>
    <t>WOS:000239200800007</t>
  </si>
  <si>
    <t>Olivier, F; Wotherspoon, SJ</t>
  </si>
  <si>
    <t>Olivier, Frederique; Wotherspoon, Simon J.</t>
  </si>
  <si>
    <t>Modelling habitat selection using presence-only data: Case study of a colonial hollow nesting bird, the snow petrel</t>
  </si>
  <si>
    <t>ECOLOGICAL MODELLING</t>
  </si>
  <si>
    <t>nest selection; Pagodroma nivea; conspecific attraction; generalized linear model (GLM); classification tree (CT); ecological niche factor analysis (ENFA); point data; simulation; autocorrelation</t>
  </si>
  <si>
    <t>SPECIES DISTRIBUTION; REPRODUCTIVE SUCCESS; WINDMILL ISLANDS; PRESENCE-ABSENCE; PAGODROMA-NIVEA; EAST ANTARCTICA; SITE SELECTION; CLIMATE-CHANGE; GIS; REGRESSION</t>
  </si>
  <si>
    <t>Little is known on distribution and abundance of snow petrels (Pagodroma nivea) in Antarctica. Studying habitat selection through modelling may provide useful information on the relationships between this species and its environment, especially on potential effects of climate change as modifications of nest sites availability and/or quality may arise in the long term. Based on surveys of the Windmill Islands during summer 2002-2003, several types of habitat suitability models were tested to relate the location of 4000 snow petrel nests with a set of environmental predictors describing rock substrate and topography, which proved useful predictors to identify favourable habitat for snow petrels. GAMs were used in the exploratory phase of the analyses, guiding the parametrization of GLMs, complemented by CT models. All three models rely on randomly generated pseudo-absence points. Their predictive performance was compared to that of a fundamentally different model using presence-only data, ENFA. Based on environmental envelopes, ENFA proved slightly less accurate than GLMs, given the available input data. However, ENFA predictions provide a useful starting point to categorize habitat suitability prior to the application of other modelling techniques. All models were ameliorated by the addition of predictors accounting for the spatial clustering of nests, but are of limited use to predict nest distribution in new areas. Clustering was caused by both coloniality and the underlying spatial structure of the substrate, which constrained nest densities through the distribution of available nest sites. Models fitted only with environmental predictors were refined when random points were separated from nest aggregations with a buffer scaled to the average size of colonies (identified with a simulation). Buffering was redundant for the models including neighbour information. overall, when fitting models with presence-only data points, improvements are obtained when accounting for the spatial clustering of the species. Given the highly specific nesting requirements of snow petrels, the observed nest clustering may be more constrained by the availability of suitable nests sites rather than driven by conspecific attraction, which emphasizes the importance of microhabitat quality in the habitat selection process.</t>
  </si>
  <si>
    <t>Univ Tasmania, Inst Antarctic &amp; So Ocean Studies, Hobart, Tas 7001, Australia; Univ Tasmania, Sch Math &amp; Phys, Hobart, Tas 7001, Australia</t>
  </si>
  <si>
    <t>University of Tasmania; University of Tasmania</t>
  </si>
  <si>
    <t>Olivier, F (corresponding author), Univ Tasmania, Inst Antarctic &amp; So Ocean Studies, Private Bag 77, Hobart, Tas 7001, Australia.</t>
  </si>
  <si>
    <t>folivier@utas.edu.au</t>
  </si>
  <si>
    <t>Wotherspoon, Simon J/B-2390-2013</t>
  </si>
  <si>
    <t>Wotherspoon, Simon J/0000-0002-6947-4445</t>
  </si>
  <si>
    <t>0304-3800</t>
  </si>
  <si>
    <t>1872-7026</t>
  </si>
  <si>
    <t>ECOL MODEL</t>
  </si>
  <si>
    <t>Ecol. Model.</t>
  </si>
  <si>
    <t>10.1016/j.ecolmodel.2005.10.036</t>
  </si>
  <si>
    <t>051SP</t>
  </si>
  <si>
    <t>WOS:000238181500003</t>
  </si>
  <si>
    <t>Foley, SF; Andronikov, AV; Jacob, DE; Melzer, S</t>
  </si>
  <si>
    <t>Foley, S. F.; Andronikov, A. V.; Jacob, D. E.; Melzer, S.</t>
  </si>
  <si>
    <t>Evidence from Antarctic mantle peridotite xenoliths for changes in mineralogy, geochemistry and geothermal gradients beneath a developing rift</t>
  </si>
  <si>
    <t>VITIM VOLCANIC FIELD; NORTH-ATLANTIC CRATON; TRACE-ELEMENT DATA; ORTHO-PYROXENE; LITHOSPHERIC MANTLE; GARNET LHERZOLITE; ULTRAMAFIC LAMPROPHYRES; METASOMATIC PROCESSES; SPINEL LHERZOLITES; EAST ANTARCTICA</t>
  </si>
  <si>
    <t>Garnet and spinel peridotite xenoliths associated with the Phanerozoic Lambert-Amery Rift in eastern Antarctica contain evidence for several stages in the development of the mantle beneath the rift. Despite the fact that equilibria were only partly attained, a combination of petrography, whole-rock geochemistry, mineral chemistry and thermobarometry can be used to decipher four stages prior to entrainment of the xenoliths in the host magma during the initial stages of the breakup of Antarctica, India and Madagascar. The first chronological stage is represented by harzburgitic protoliths represented by rare occurrences of low-Ca olivines and orthopyroxenes in spinel lherzolites: these yield the lowest temperatures of 830-850 degrees C, and are also characterized by distinct trace element contents; lower Ti, Cr, V and Zn in olivine and orthopyroxene, and additionally lower Cu, Ni, Ga and Li in orthopyroxene. Some garnets are subcalcic, indicating that the spinel-garnet lherzolites also formed from harzburgitic protoliths. The second stage is the formation of garnet due to a pressure increase probably related to collision at 1.1 Ga. The third stage is marked by the growth of clinopyroxene, demonstrably in cpx-poor spinel lherzolites but probably in all xenolith groups: equilibrium of clinopyroxene with olivine and orthopyroxene was not attained in all samples, so that the non-judicious use of thermobarometers can produce bewildering results. The fourth stage is an enrichment episode that affected all spinel-garnet peridotites and about half of the spinel peridotites. During this stage, reaction rims were produced on the clinopyroxenes that formed during stage 3, the modal content of olivine and Mg/(Mg + Fe) in the rocks was reduced, CaO, Al2O3 and trace elements were enriched, and garnets were almost completely transformed to kelyphites. A later stage is documented by interstitial glasses and films around spinels related to infiltration of melt from the host magma. These post-date, and are more enriched in alkalies than, partially melted rims on clinopyroxenes, demonstrating that all the three earlier episodes were pre-entrainment events. Pressures indicated by the spinel + garnet lherzolites are restricted to 20-24 kbar at 1040-1180 degrees C. Early harzburgitic assemblages are interpreted to represent an earlier, cooler geotherm, whereas the kelyphite assemblages indicate temperatures 180-200 degrees C hotter than the main xenolith geotherm. This event also caused recrystallization of the clinopyroxene rims and is attributed to heating during rifting, but not due to the host magma itself. The preservation of evidence for three progressively hotter geotherms can be related to the upward movement of isotherms during the development of the sub-rift mantle. (c) 2006 Elsevier Inc. All rights reserved.</t>
  </si>
  <si>
    <t>Johannes Gutenberg Univ Mainz, Inst Geosci, D-55099 Mainz, Germany; Univ Michigan, Dept Geol Sci, Ann Arbor, MI 48109 USA; Geoforschungszentrum Potsdam, D-14407 Potsdam, Germany; Corus RD&amp;T, Ceram Res Ctr, NL-1970 CA Ijmuiden, Netherlands</t>
  </si>
  <si>
    <t>Johannes Gutenberg University of Mainz; University of Michigan System; University of Michigan; Helmholtz Association; Helmholtz-Center Potsdam GFZ German Research Center for Geosciences</t>
  </si>
  <si>
    <t>Foley, SF (corresponding author), Johannes Gutenberg Univ Mainz, Inst Geosci, Becherweg 21, D-55099 Mainz, Germany.</t>
  </si>
  <si>
    <t>foley@uni-mainz.de</t>
  </si>
  <si>
    <t>Foley, Stephen F/C-1923-2009; Foley, Stephen/I-1759-2013; Jacob, Dorrit/F-8617-2010</t>
  </si>
  <si>
    <t>Jacob, Dorrit/0000-0003-4744-6627; Foley, Stephen/0000-0001-7510-0223</t>
  </si>
  <si>
    <t>10.1016/j.gca.2006.03.010</t>
  </si>
  <si>
    <t>055EB</t>
  </si>
  <si>
    <t>WOS:000238431700011</t>
  </si>
  <si>
    <t>Arblaster, JM; Meehl, GA</t>
  </si>
  <si>
    <t>Arblaster, Julie M.; Meehl, Gerald A.</t>
  </si>
  <si>
    <t>Contributions of external forcings to southern annular mode trends</t>
  </si>
  <si>
    <t>HEMISPHERE CLIMATE-CHANGE; EXTRATROPICAL CIRCULATION; ANTHROPOGENIC FORCINGS; ANTARCTIC OSCILLATION; 20TH-CENTURY CLIMATE; ANNUAL CYCLE; VARIABILITY; MODULATION; OZONE; SIMULATIONS</t>
  </si>
  <si>
    <t>An observed trend in the Southern Hemisphere annular mode (SAM) during recent decades has involved an intensification of the polar vortex. The source of this trend is a matter of scientific debate with stratospheric ozone losses, greenhouse gas increases, and natural variability all being possible contenders. Because it is difficult to separate the contribution of various external forcings to the observed trend, a state-of-the-art global coupled model is utilized here. Ensembles of twentieth-century simulations forced with the observed time series of greenhouse gases, tropospheric and stratospheric ozone, sulfate aerosols, volcanic aerosols, solar variability, and various combinations of these are used to examine the annular mode trends in comparison to observations, in an attempt to isolate the response of the climate system to each individual forcing. It is found that ozone changes are the biggest contributor to the observed summertime intensification of the southern polar vortex in the second half of the twentieth century, with increases of greenhouse gases also being a necessary factor in the reproduction of the observed trends at the surface. Although stratospheric ozone losses are expected to stabilize and eventually recover to preindustrial levels over the course of the twenty-first century, these results show that increasing greenhouse gases will continue to intensify the polar vortex throughout the twenty-first century, but that radiative forcing will cause widespread temperature increases over the entire Southern Hemisphere.</t>
  </si>
  <si>
    <t>Bur Meteorol Res Ctr, Melbourne, Vic 3001, Australia; Natl Ctr Atmospher Res, Boulder, CO 80307 USA</t>
  </si>
  <si>
    <t>Bureau of Meteorology - Australia; National Center Atmospheric Research (NCAR) - USA</t>
  </si>
  <si>
    <t>Arblaster, JM (corresponding author), Bur Meteorol Res Ctr, GPO Box 1289, Melbourne, Vic 3001, Australia.</t>
  </si>
  <si>
    <t>jma@ucar.edu</t>
  </si>
  <si>
    <t>Arblaster, Julie/C-1342-2010</t>
  </si>
  <si>
    <t>Arblaster, Julie/0000-0002-4287-2363</t>
  </si>
  <si>
    <t>10.1175/JCLI3774.1</t>
  </si>
  <si>
    <t>057ZT</t>
  </si>
  <si>
    <t>WOS:000238634500015</t>
  </si>
  <si>
    <t>Stajner, I; Wargan, K; Chang, LP; Hayashi, H; Pawson, S; Nakajima, H</t>
  </si>
  <si>
    <t>Stajner, Ivanka; Wargan, Krzysztof; Chang, Lang-Ping; Hayashi, Hiroo; Pawson, Steven; Nakajima, Hideaki</t>
  </si>
  <si>
    <t>Assimilation of ozone profiles from the Improved Limb Atmospheric Spectrometer-II: Study of Antarctic ozone</t>
  </si>
  <si>
    <t>TRANSPORT; SYSTEM; STRATOSPHERE; VALIDATION; ALGORITHM; VORTEX</t>
  </si>
  <si>
    <t>[ 1] Ozone data from the Improved Limb Atmospheric Spectrometer- II (ILAS-II) were included in addition to other satellite observations in the ozone assimilation system at the Global Modeling and Assimilation Office (GMAO) of NASA/Goddard. The control run assimilated data from NOAA 16 Solar Backscatter Ultraviolet/2 (SBUV/2) and Polar Ozone and Aerosol Measurement III (POAM III) instruments. Persistent impacts over Antarctica and transient impacts over northern middle and high latitudes are seen from April to October 2003, when ILAS-II provided good coverage. The largest improvements with respect to independent ozone sonde data are seen over the South Pole station. Ozone analyses and forecasts from the assimilation of SBUV/2, POAM III and ILAS- II data are used to investigate the transport of ozone to southern middle latitudes following the breakup of the Antarctic vortex. The quality of analyses and forecasts is evaluated by comparison with independent Stratospheric Aerosol and Gas Experiment III ( SAGE III) ozone data near 46 degrees S. Anomaly correlations between SAGE III data and forecasts are improved at 70 hPa when occultation data are included.</t>
  </si>
  <si>
    <t>NASA, Global Modeling &amp; Assimilat Off, Goddard Space Flight Ctr, Greenbelt, MD 20771 USA; Sci Applicat Int Corp, Beltsville, MD USA; Univ Maryland Baltimore Cty, Goddard Earth Sci &amp; Technol Ctr, Baltimore, MD 21228 USA; Natl Inst Environm Studies, Tsukuba, Ibaraki 3058506, Japan</t>
  </si>
  <si>
    <t>National Aeronautics &amp; Space Administration (NASA); NASA Goddard Space Flight Center; Science Applications International Corporation (SAIC); University System of Maryland; University of Maryland Baltimore County; National Aeronautics &amp; Space Administration (NASA); NASA Goddard Space Flight Center; National Institute for Environmental Studies - Japan</t>
  </si>
  <si>
    <t>Stajner, I (corresponding author), NASA, Global Modeling &amp; Assimilat Off, Goddard Space Flight Ctr, Code 610-1, Greenbelt, MD 20771 USA.</t>
  </si>
  <si>
    <t>istajner@gmao.gsfc.nasa.gov; kwargan@gmao.gsfc.nasa.gov; lpchang@gmao.gsfc.nasa.gov; hhayashi@gmao.gsfc.nasa.gov; spawson@gmao.gsfc.nasa.gov</t>
  </si>
  <si>
    <t>Stajner, Ivanka/B-5228-2009; Nakajima, Hideaki/M-8845-2019; Pawson, Steven/I-1865-2014</t>
  </si>
  <si>
    <t>Stajner, Ivanka/0000-0001-6103-3939; Nakajima, Hideaki/0000-0002-2742-1230; Wargan, Krzysztof/0000-0002-3795-2983; Pawson, Steven/0000-0003-0200-717X</t>
  </si>
  <si>
    <t>D11</t>
  </si>
  <si>
    <t>D11S14</t>
  </si>
  <si>
    <t>10.1029/2005JD006448</t>
  </si>
  <si>
    <t>057BR</t>
  </si>
  <si>
    <t>WOS:000238570500002</t>
  </si>
  <si>
    <t>David, V; Sautour, B; Galois, R; Chardy, P</t>
  </si>
  <si>
    <t>David, Valerie; Sautour, Benoit; Galois, Robert; Chardy, Pierre</t>
  </si>
  <si>
    <t>The paradox high zooplankton biomass-low vegetal particulate organic matter in high turbidity zones: What way for energy transfer?</t>
  </si>
  <si>
    <t>fatty acid biomarkers; food chain; high turbidity zones; in situ experiments; vegetal POM; zooplankton</t>
  </si>
  <si>
    <t>COPEPOD EURYTEMORA-AFFINIS; GIRONDE ESTUARY FRANCE; MYSID NEOMYSIS INTEGER; FATTY-ACID COMPOSITION; NORTH WATER POLYNYA; EUROPEAN ESTUARIES; TROPHIC MARKERS; GRAZING IMPACT; LIPID-COMPOSITION; ANTARCTIC KRILL</t>
  </si>
  <si>
    <t>Estuarine ecosystems are characterized by high zooplanktonic biomasses, essentially constituted by copepods and mysids whose nutritional requirements are mainly provided by phytoplankton, an easily available carbon form. The Gironde estuary is characterized by high turbidities which limit light penetration in the water column and therefore primary production. Consequently, primary production is low and its availability for higher trophic level is very limited. The main goal of this study was to characterize the total vegetal particulate organic matter (POM) in high turbidity zones of the Gironde estuary during summer (a critical period characterized by high heterotrophic bacterial degradation and high zooplanktonic biomasses) and to analyse its utilization by zooplankton, using prey/predator experiments and trophic biomarkers (fatty acids). The specific goals were to define (i) how vegetal POM was exploited by the different zooplanktonic groups (protozoa, copepods and mysids) and (ii) which alternative preys could be used when vegetal POM was not sufficient to ensure their nutritional requirements. Chlorophyll biomass was very low in the MTZ during summer 2002 (0.48 +/- 0.03 mg m(-3)). Total zooplankton grazing was low (19% d(-1)) probably due to a large contribution of detritus originating from terrestrial plants in vegetal POM compared to phytoplankton. The highest grazing pressure was exercised by the mysid Mesopodopsis slabberi due to its high abundances and by its almost entirely herbivorous diet (phytoplankton and small terrestrial detritus). Grazing rates (19.7 +/- 4.2 and 9.6 mu gC cop(-1) d(-1) for juveniles and adults, respectively) seemed to be sufficient to satisfy their daily carbon requirement. Grazing rate of the copepod Eurytemora affinis (139 ngC cop(-1) d(-1)) seemed to be insufficient to cover its nutritional requirements and the copepods probably needed to complete a great part of their diet from protozoa. Grazing rates of the mysid Neomysis integer (24.7 +/- 0.01 and 20.89 +/- 8.45 mu gC cop(-1) d(-1) for juveniles and adults, respectively) were higher than those of M. slabberi when feeding only on phytoplankton. However, when other preys were introduced in its environment, N. integer only fed on the copepod E. affinis with a preference for nauplii. The study revealed the great importance of protozoa and bacteria in the trophic transfers between vegetal POM and zooplankton in the MTZ during summer, despite the low protozoa grazing pressure on vegetal POM (3.1 %). The detritic food chain probably implies various trophic transfers with little direct relationships between vegetal POM and zooplankton. (c) 2006 Elsevier B.V. All rights reserved.</t>
  </si>
  <si>
    <t>Univ Bordeaux 1, CNRS, UMR 5805, Lab Oceanog Biol, F-33120 Arcachon, France; Ctr Rech Ecosyst Marins &amp; Aquacoles Houmeau, F-17137 LHoumeau, France</t>
  </si>
  <si>
    <t>Centre National de la Recherche Scientifique (CNRS); CNRS - National Institute for Earth Sciences &amp; Astronomy (INSU); Universite de Bordeaux</t>
  </si>
  <si>
    <t>David, V (corresponding author), Univ Bordeaux 1, CNRS, UMR 5805, Lab Oceanog Biol, 2 Rue Prof Jolyet, F-33120 Arcachon, France.</t>
  </si>
  <si>
    <t>v.david@epoc.u-bordeaux1.fr</t>
  </si>
  <si>
    <t>David, Valerie/A-8770-2017</t>
  </si>
  <si>
    <t>David, Valerie/0000-0001-6950-9604</t>
  </si>
  <si>
    <t>JUN 13</t>
  </si>
  <si>
    <t>10.1016/j.jembe.2005.12.045</t>
  </si>
  <si>
    <t>053TO</t>
  </si>
  <si>
    <t>WOS:000238328400006</t>
  </si>
  <si>
    <t>Cornick, LA; Inglis, SD; Willis, K; Horning, M</t>
  </si>
  <si>
    <t>Cornick, L. A.; Inglis, S. D.; Willis, K.; Horning, M.</t>
  </si>
  <si>
    <t>Effects of increased swimming costs on foraging behavior and efficiency of captive Steller sea lions: Evidence for behavioral plasticity in the recovery phase of dives</t>
  </si>
  <si>
    <t>Eumetopias jubatus; foraging energetics; hydrodynamic drag; locomotor costs; optimal foraging; Steller sea lion</t>
  </si>
  <si>
    <t>DIVING WEDDELL SEALS; ANTARCTIC FUR SEALS; LOW ENERGETIC COST; GAS-EXCHANGE; LEPTONYCHOTES-WEDDELLII; HARBOR PORPOISE; BLOOD-CHEMISTRY; HEART-RATE; SPEED; STRATEGIES</t>
  </si>
  <si>
    <t>A significant component of foraging energetics is the cost of locomotion, which for marine animals, is the cost of swimming. increases in the cost of swimming may have significant impacts on foraging efficiency. Minimizing the cost of swimming can contribute to the optimization of foraging strategies by reducing the energetic cost of foraging. Results of several field studies suggest that an increase in the cost of locomotion may have comparable effects on foraging behavior and efficiency to a decrease in prey availability. We tested the hypothesis that an increased cost of swimming, brought on by increased hydrodynamic drag, has the same effect on dive behavior and efficiency as reduced prey availability under standard locomotion. Experiments were performed using two adult female Steller sea lions at the Alaska SeaLife Center in Seward, AK, using the same animals and general experimental design previously used to test the effects of reduced prey encounter rate on dive behavior and efficiency. Animals were fitted with a drag-inducing harness for half of the 500 simulated foraging dives in order to increase the cost of swimming. Individual dive duration and foraging time were significantly reduced in all cost-increased dives, comparable to the effects of reduced prey encounter rate. However, on a bout-by-bout basis, dive and foraging efficiency were only slightly reduced, which is likely due to an average 50% reduction in post-dive surface recovery duration during cost-increased dives. Increased heat flux across the body surface measured in a parallel study confirmed a significant increase in work during drag-increased dives. These results suggest that sea lions are able to compensate for changes in the cost of foraging and maintain their foraging efficiency by altering their dive strategy over an entire bout of dives when operating well within their aerobic scope. (c) 2006 Elsevier B.V. All rights reserved.</t>
  </si>
  <si>
    <t>Alaska Pacific Univ, Dept Environm Sci, Anchorage, AK 99508 USA; Alaska SeaLife Ctr, Seward, AK 99664 USA; Univ Alaska Fairbanks, Inst Marine Sci, Fairbanks, AK 99775 USA; Texas A&amp;M Univ, Lab Appl Biotelemetry &amp; Biotechnol, Galveston, TX 77551 USA</t>
  </si>
  <si>
    <t>University of Alaska System; University of Alaska Fairbanks; Texas A&amp;M University System</t>
  </si>
  <si>
    <t>Cornick, LA (corresponding author), Alaska Pacific Univ, Dept Environm Sci, 4101 Univ Dr, Anchorage, AK 99508 USA.</t>
  </si>
  <si>
    <t>leomick@alaskapacific.edu</t>
  </si>
  <si>
    <t>Horning, Markus/I-3019-2015</t>
  </si>
  <si>
    <t>Horning, Markus/0000-0001-6178-4935</t>
  </si>
  <si>
    <t>10.1016/j.jembe.2006.01.010</t>
  </si>
  <si>
    <t>WOS:000238328400015</t>
  </si>
  <si>
    <t>Schouten, MW; Matano, RP</t>
  </si>
  <si>
    <t>Schouten, Mathijs W.; Matano, Ricardo P.</t>
  </si>
  <si>
    <t>Formation and pathways of intermediate water in the Parallel Ocean Circulation Model's Southern Ocean</t>
  </si>
  <si>
    <t>ANTARCTIC MODE; VORTICITY STRUCTURE; HEAT; AGULHAS; TRANSPORT; ATLANTIC; SEA; VARIABILITY; DYNAMICS; RENEWAL</t>
  </si>
  <si>
    <t>[ 1] The formation mechanisms and pathways of intermediate water in the Southern Ocean are analyzed from output of a high-resolution ocean general circulation model. Deep winter mixed layer formation in the Southern Ocean is diagnosed from the model results and is found to be mostly consistent with observations. Diapycnal water mass transformations by air-sea fluxes and internal mixing are quantified and split into mean and eddy components. The diapycnal formation of the water masses that constitute the Antarctic intermediate water layer in the southeast Pacific is found to occur mainly in the western Pacific Ocean in this model. In winter, convection up to 900 m is found to set the potential vorticity characteristics of this layer. Eddy fluxes of heat and buoyancy play an important role in the formation of the intermediate waters by transferring water from the southern parts of the subtropical gyres into the Antarctic Circumpolar Current (ACC) and vice versa. The effects of eddy fluxes are found to vary significantly along the path of the ACC. They are strongly concentrated in the regions near the Agulhas Return Current in the Indian Ocean and the Brazil-Malvinas Confluence in the Atlantic.</t>
  </si>
  <si>
    <t>Royal Netherlands Inst Sea Res, Dept Phys Oceanog, NL-1797 SZ Texel, Netherlands; Oregon State Univ, Coll Ocean &amp; Atmospher Res, Corvallis, OR 97331 USA</t>
  </si>
  <si>
    <t>Utrecht University; Royal Netherlands Institute for Sea Research (NIOZ); Oregon State University</t>
  </si>
  <si>
    <t>Schouten, MW (corresponding author), Royal Netherlands Inst Sea Res, Dept Phys Oceanog, Landsdiep 4, NL-1797 SZ Texel, Netherlands.</t>
  </si>
  <si>
    <t>schout@nioz.nl; matano@coas.oregonstate.edu</t>
  </si>
  <si>
    <t>C06015</t>
  </si>
  <si>
    <t>10.1029/2004JC002357</t>
  </si>
  <si>
    <t>057BZ</t>
  </si>
  <si>
    <t>hybrid, Green Submitted</t>
  </si>
  <si>
    <t>WOS:000238571300001</t>
  </si>
  <si>
    <t>Lodolo, E; Donda, F; Tassone, A</t>
  </si>
  <si>
    <t>Lodolo, Emanuele; Donda, Federica; Tassone, Alejandro</t>
  </si>
  <si>
    <t>Western Scotia Sea margins: Improved constraints on the opening of the Drake Passage</t>
  </si>
  <si>
    <t>JOURNAL OF GEOPHYSICAL RESEARCH-SOLID EARTH</t>
  </si>
  <si>
    <t>SOUTHERNMOST SOUTH-AMERICA; ANTARCTIC CIRCUMPOLAR CURRENT; SHACKLETON FRACTURE-ZONE; RELATIVE PLATE MOTIONS; TIERRA-DEL-FUEGO; TECTONIC EVOLUTION; SEISMIC STRUCTURE; BRANSFIELD BASIN; PACIFIC MARGIN; RIDGE</t>
  </si>
  <si>
    <t>[ 1] We present a revised tectonic interpretation ( from similar to 28 Ma to 3.2 Ma) of the western sector of the Scotia Sea, incorporating new multichannel seismic reflection profiles and magnetic anomaly identifications for the continental margin off the Tierra del Fuego Island, and available complementary data for the conjugate margin of the northwestern flank of the South Scotia Ridge. Seismic profiles show a remarkable diversity of the pair of conjugate passive margins of the western Scotia Sea in both their morphology and structural framework. The Tierra del Fuego continental margin can be related to a classic rifted passive margin, while the southwestern margin of the Scotia Sea is characterized by steep slopes mostly generated by subvertical faults that abruptly separate the continental crust of the South Scotia Ridge from the oceanic crust of the western Scotia Sea. This structural difference was caused by intense strike-slip tectonism, mostly concentrated along the modern South Scotia Ridge since the early development of the western Scotia Sea. We find evidence for a previously unrecognized magnetic anomaly 10 ( similar to 28 Ma) at the foot of the Tierra del Fuego continental margin; the same anomaly is present at the conjugate northern flank of the South Scotia Ridge. The timing of events leading to the earliest development of the western Scotia Sea, which determined the opening of the Drake Passage is important because this gateway opening had a profound effect on global circulation and climate. The thickness and the distribution of the sedimentary cover overall in the abyssal plain off the two western Scotia Sea margins is different. This is due to the different regimes of the bottom-current flows which affected the western Scotia Sea, both in the past and in the present time.</t>
  </si>
  <si>
    <t>Ist Nazl Oceanog &amp; Geofis Sperimentale, I-34010 Trieste, Italy; Univ Buenos Aires, Fac Ciencias Exactas &amp; Nat, Dept Geol, Inst Geofis Daniel Valencio, Buenos Aires, DF, Argentina</t>
  </si>
  <si>
    <t>Istituto Nazionale di Oceanografia e di Geofisica Sperimentale; University of Buenos Aires</t>
  </si>
  <si>
    <t>Lodolo, E (corresponding author), Ist Nazl Oceanog &amp; Geofis Sperimentale, Borgo Grotta Gigante 42-C, I-34010 Trieste, Italy.</t>
  </si>
  <si>
    <t>elodolo@ogs.trieste.it; fdonda@ogs.trieste.it; atassone@gl.fcen.uba.ar</t>
  </si>
  <si>
    <t>LODOLO, Emanuele/0000-0002-4706-2095; Donda, Federica/0000-0002-1284-5866</t>
  </si>
  <si>
    <t>2169-9313</t>
  </si>
  <si>
    <t>2169-9356</t>
  </si>
  <si>
    <t>J GEOPHYS RES-SOL EA</t>
  </si>
  <si>
    <t>J. Geophys. Res.-Solid Earth</t>
  </si>
  <si>
    <t>B6</t>
  </si>
  <si>
    <t>B06101</t>
  </si>
  <si>
    <t>10.1029/2006JB004361</t>
  </si>
  <si>
    <t>057CK</t>
  </si>
  <si>
    <t>WOS:000238572500005</t>
  </si>
  <si>
    <t>Bombardieri, DJ; Duldig, ML; Michael, KJ; Humble, JE</t>
  </si>
  <si>
    <t>Bombardieri, D. J.; Duldig, M. L.; Michael, K. J.; Humble, J. E.</t>
  </si>
  <si>
    <t>Relativistic proton production during the 2000 July 14 solar event: The case for multiple source mechanisms</t>
  </si>
  <si>
    <t>ASTROPHYSICAL JOURNAL</t>
  </si>
  <si>
    <t>Sun : particle emission</t>
  </si>
  <si>
    <t>PARTICLE-ACCELERATION; MAGNETIC RECONNECTION; SEPTEMBER 1989; CURRENT SHEET; FLARE; ERUPTION; SPECTRA; MODEL</t>
  </si>
  <si>
    <t>Protons accelerated to relativistic energies by transient solar and interplanetary phenomena caused a ground-level cosmic-ray enhancement on 2000 July 14, Bastille Day. Near-Earth spacecraft measured the proton flux directly, and ground-based observatories measured the secondary responses to higher energy protons. We have modeled the arrival of these relativistic protons at Earth using a technique that deduces the spectrum, arrival direction, and anisotropy of the high-energy protons that produce increased responses in neutron monitors. To investigate the acceleration processes involved we have employed theoretical shock and stochastic acceleration spectral forms in our fits to spacecraft and neutron monitor data. During the rising phase of the event ( 10: 45 and 10: 50 UT) we find that the spectrum between 140 MeV and 4 GeV is best fitted by a shock acceleration spectrum. In contrast, the spectrum at the peak ( 10: 55 and 11: 00 UT) and in the declining phase ( 11: 40 UT) is best fitted with a stochastic acceleration spectrum. We propose that at least two acceleration processes were responsible for the production of relativistic protons during the Bastille Day solar event: ( 1) protons were accelerated to relativistic energies by a shock, presumably a coronal mass ejection (CME); and ( 2) protons were also accelerated to relativistic energies by stochastic processes initiated by magnetohydrodynamic (MHD) turbulence.</t>
  </si>
  <si>
    <t>Univ Tasmania, Inst Antarctic &amp; So Ocean Studies, Hobart, Tas 7001, Australia; Australian Antarctic Div, Dept Environm &amp; Heritage, Kingston, Tas 7050, Australia; Univ Tasmania, Antarctic Climate &amp; Ecosyst Cooperat Res Ctr, Hobart, Tas 7001, Australia; Univ Tasmania, Sch Math &amp; Phys, Hobart, Tas 7001, Australia</t>
  </si>
  <si>
    <t>University of Tasmania; Australian Antarctic Division; Antarctic Climate &amp; Ecosystems Cooperative Research Centre (ACE CRC); University of Tasmania; University of Tasmania</t>
  </si>
  <si>
    <t>Bombardieri, DJ (corresponding author), Univ Tasmania, Inst Antarctic &amp; So Ocean Studies, Hobart, Tas 7001, Australia.</t>
  </si>
  <si>
    <t>daniel.bombardieri@aad.gov.au</t>
  </si>
  <si>
    <t>; Michael, Kelvin/J-7217-2014</t>
  </si>
  <si>
    <t>Humble, John/0000-0002-4698-1671; Duldig, Marcus/0000-0001-7463-8267; Michael, Kelvin/0000-0002-5427-7393</t>
  </si>
  <si>
    <t>0004-637X</t>
  </si>
  <si>
    <t>1538-4357</t>
  </si>
  <si>
    <t>ASTROPHYS J</t>
  </si>
  <si>
    <t>Astrophys. J.</t>
  </si>
  <si>
    <t>JUN 10</t>
  </si>
  <si>
    <t>10.1086/501519</t>
  </si>
  <si>
    <t>053XK</t>
  </si>
  <si>
    <t>WOS:000238339200050</t>
  </si>
  <si>
    <t>Chen, JL; Wilson, CR; Blankenship, DD; Tapley, BD</t>
  </si>
  <si>
    <t>Chen, J. L.; Wilson, C. R.; Blankenship, D. D.; Tapley, B. D.</t>
  </si>
  <si>
    <t>Antarctic mass rates from GRACE</t>
  </si>
  <si>
    <t>TIME-VARIABLE GRAVITY; CLIMATE EXPERIMENT; RECOVERY; BALANCE; EARTH</t>
  </si>
  <si>
    <t>We estimate mass trends over Antarctica using gravity variations observed by the Gravity Recovery and Climate Experiment ( GRACE) satellite mission during its first 3.5 years ( April 2002 - November 2005). An image of surface mass trends is constructed from 1 degrees x 1 degrees pixels over the entire continent, and shows two prominent features, a region of mass loss along the coast of West Antarctica, and one of accumulation in East Antarctica. After adjusting for bias due to smoothing and to GRACE's limited spatial resolution, and removing post glacial rebound (PGR) effects, the rate in West Antarctica is - 77 +/- 14 km(3)/year, similar to a recent estimate of ice mass loss from satellite altimetry and remote sensing data. The prominent East Antarctic feature in the Enderby Land region has a rate of + 80 +/- 16 km(3)/year. Published snow/ice mass rates from remote sensing measurements indicate approximate ice mass balance in this region, suggesting that this feature is either from unquantified snow accumulation in this region or more likely due to unmodeled PGR.</t>
  </si>
  <si>
    <t>Univ Texas, Ctr Space Res, Austin, TX 78759 USA; Univ Texas, Inst Geophys, Austin, TX 78759 USA; Univ Texas, Dept Geol Sci, Austin, TX 78759 USA</t>
  </si>
  <si>
    <t>University of Texas System; University of Texas Austin; University of Texas System; University of Texas Austin; University of Texas System; University of Texas Austin</t>
  </si>
  <si>
    <t>Chen, JL (corresponding author), Univ Texas, Ctr Space Res, Austin, TX 78759 USA.</t>
  </si>
  <si>
    <t>chen@csr.utexas.edu</t>
  </si>
  <si>
    <t>Blankenship, Donald D./G-5935-2010</t>
  </si>
  <si>
    <t>Tapley, Byron/0000-0003-3689-5750; Chen, Jianli/0000-0001-5405-8441</t>
  </si>
  <si>
    <t>JUN 9</t>
  </si>
  <si>
    <t>L11502</t>
  </si>
  <si>
    <t>10.1029/2006GL026369</t>
  </si>
  <si>
    <t>052FS</t>
  </si>
  <si>
    <t>WOS:000238218500003</t>
  </si>
  <si>
    <t>Bay, RC; Bramall, NE; Price, PB; Clow, GD; Hawley, RL; Udisti, R; Castellano, E</t>
  </si>
  <si>
    <t>Bay, R. C.; Bramall, N. E.; Price, P. B.; Clow, G. D.; Hawley, R. L.; Udisti, R.; Castellano, E.</t>
  </si>
  <si>
    <t>Globally synchronous ice core volcanic tracers and abrupt cooling during the last glacial period</t>
  </si>
  <si>
    <t>SCALE CLIMATE-CHANGE; SIPLE DOME; EXPLOSIVE VOLCANISM; TEPHRA LAYERS; GREENLAND; ANTARCTICA; ERUPTIONS; SHEET; ASH; INSTABILITY</t>
  </si>
  <si>
    <t>[ 1] We perform a Monte Carlo pattern recognition analysis of the coincidence between three regional volcanic histories from ice coring of Greenland and Antarctica over the period 2 to 45 ka, using SO4 anomalies in Greenland and East Antarctica determined by continuous core chemistry, together with West Antarctic volcanic ash layers determined by remote optical borehole logging and core assays. We find that the Antarctic record of volcanism correlates with Glacial abrupt climate change at a 95% to &gt; 99.8% (similar to 3 sigma) significance level and that volcanic depositions at the three locations match at levels exceeding 3 sigma, likely indicating that many common horizons represent single eruptive events which dispersed material world wide. These globally coincident volcanics were associated with abrupt cooling, often simultaneous with onsets or sudden intensifications of millennial cold periods. The striking agreement between sites implies that the consistency of current timescales obtained by isotopic and glaciological dating methods is better than estimated.</t>
  </si>
  <si>
    <t>Univ Calif Berkeley, Dept Phys, Berkeley, CA 94720 USA; US Geol Survey, Denver, CO 80225 USA; Univ Washington, Dept Earth &amp; Space Sci, Seattle, WA 98195 USA; Univ Florence, Dept Chem, I-50139 Florence, Italy</t>
  </si>
  <si>
    <t>University of California System; University of California Berkeley; United States Department of the Interior; United States Geological Survey; University of Washington; University of Washington Seattle; University of Florence</t>
  </si>
  <si>
    <t>Bay, RC (corresponding author), Univ Calif Berkeley, Dept Phys, 366 LeConte Hall, Berkeley, CA 94720 USA.</t>
  </si>
  <si>
    <t>bay@berkeley.edu; bramall@berkeley.edu; bprice@berkeley.edu; clow@usgs.gov; rlh45@cam.ac.uk; udisti@unifi.it; emiliano.castellano@unifi.it</t>
  </si>
  <si>
    <t>Udisti, Roberto/M-7966-2015</t>
  </si>
  <si>
    <t>Udisti, Roberto/0000-0003-4440-8238; Becagli, Silvia/0000-0003-3633-4849; Bramall, Nathan/0000-0003-4783-5008</t>
  </si>
  <si>
    <t>D11108</t>
  </si>
  <si>
    <t>10.1029/2005JD006306</t>
  </si>
  <si>
    <t>052FZ</t>
  </si>
  <si>
    <t>WOS:000238219300001</t>
  </si>
  <si>
    <t>Khosrawi, F; Müller, R; Proffitt, MH; Nakajima, H</t>
  </si>
  <si>
    <t>Khosrawi, F.; Muller, R.; Proffitt, M. H.; Nakajima, H.</t>
  </si>
  <si>
    <t>Monthly averages of nitrous oxide and ozone for the Northern and Southern Hemisphere high latitudes:: A 1-year climatology' derived from ILAS/ILAS-II observations</t>
  </si>
  <si>
    <t>LIMB ATMOSPHERIC SPECTROMETER; HALOGEN OCCULTATION EXPERIMENT; POLAR VORTEX; ARCTIC WINTER; CHLORINE ACTIVATION; ANTARCTIC STRATOSPHERE; TRACER CORRELATIONS; MAIN CAUSE; ILAS; DEHYDRATION</t>
  </si>
  <si>
    <t>[1] Correlations of ozone (O-3) and nitrous oxide (N2O) have been suggested as a tool for validating photochemical models and as a reference for estimating high-latitude ozone loss. However, so far no analysis of ozone-tracer relations is available that provides a good temporal coverage during all months. Here we combine measurements from the Improved Limb Atmospheric Spectrometers (ILAS/ILAS-II) to derive an O-3/N2O climatology for the high-latitude regions in the Northern and Southern Hemisphere for each month of the year, thus providing a complete seasonal cycle. ILAS and ILAS-II operated on board the Advanced Earth Observing Satellite (ADEOS/ADEOS-II), and both instruments use the solar occultation technique. ILAS operated for 8 months in 1996/ 1997, and ILAS-II operated for 7 months in 2003. The ILAS-II measurements cover the months that are not available from ILAS. The ILAS/ILAS-II correlations of ozone versus nitrous oxide are organized monthly in both hemispheres by partitioning these data into equal bins of altitude or potential temperature. The resulting families of curves allow separation of ozone changes due to photochemistry from those due to transport. The combined ILAS/ILAS-II data set corroborates earlier findings that the families of O-3/N2O curves are separated and generally do not cross and further that the separation is much clearer for the potential temperature binning than for the altitude binning. The much clearer separation for the potential temperature binning is due to transport being predominantly isentropic. Thus these curves are particularly suitable for the validation of photochemical models. The seasonal cycle of O-3/N2O distributions in the Northern and Southern Hemisphere high latitudes is found to be rather different. In the Southern Hemisphere, O-3/N2O distributions are influenced by the strong chemical ozone loss in the Antarctic vortex and by a much longer duration of the polar vortex. In the Northern Hemisphere, diabatic descent is much more pronounced. Solely during the setup phase of the polar vortex the N2O/O-3 distributions in the two hemispheres are rather similar.</t>
  </si>
  <si>
    <t>Stockholm Univ, Dept Meteorol, Dept Appl Environm Sci, SE-10691 Stockholm, Sweden; Forschungszentrum Julich, ICGI Stratosphere, D-52425 Julich, Germany; Proffitt Instruments Inc, Austin, TX 78731 USA; Natl Inst Environm Studies, Ozone Layer Res Project, Tsukuba, Ibaraki 3058506, Japan</t>
  </si>
  <si>
    <t>Stockholm University; Helmholtz Association; Research Center Julich; National Institute for Environmental Studies - Japan</t>
  </si>
  <si>
    <t>Khosrawi, F (corresponding author), Stockholm Univ, Dept Meteorol, Dept Appl Environm Sci, SE-10691 Stockholm, Sweden.</t>
  </si>
  <si>
    <t>farahnaz.khosrawi@itm.su.se; ro.mueller@fz-juelich.de; proffitt@uolsinectis.com.ar; hide@nies.go.jp</t>
  </si>
  <si>
    <t>Müller, Rolf/ABA-8213-2021; Nakajima, Hideaki/M-8845-2019</t>
  </si>
  <si>
    <t>Müller, Rolf/0000-0002-5024-9977; Nakajima, Hideaki/0000-0002-2742-1230; Khosrawi, Farahnaz/0000-0002-0261-7253</t>
  </si>
  <si>
    <t>D11S11</t>
  </si>
  <si>
    <t>10.1029/2005JD006384</t>
  </si>
  <si>
    <t>WOS:000238219300002</t>
  </si>
  <si>
    <t>Schaefer, JM; Denton, GH; Barrell, DJA; Ivy-Ochs, S; Kubik, PW; Andersen, BG; Phillips, FM; Lowell, TV; Schlüchter, C</t>
  </si>
  <si>
    <t>Near-synchronous interhemispheric termination of the last glacial maximum in mid-latitudes</t>
  </si>
  <si>
    <t>ABRUPT CLIMATE-CHANGE; LATE PLEISTOCENE; ICE CORE; ATLANTIC; EVENTS; PERIOD; DEGLACIATION; ANTARCTICA; CHRONOLOGY; AUSTRALIA</t>
  </si>
  <si>
    <t>Isotopic records from polar ice cores imply globally asynchronous warming at the end of the last glaciation. However, Be-10 exposure dates show that large-scale retreat of mid-latitude Last Glacial Maximum glaciers commenced at about the same time in both hemispheres. The timing of retreat is consistent with the onset of temperature and atmospheric CO2 increases in Antarctic ice cores. We suggest that a global trend of rising summer temperatures at the end of the Last Glacial Maximum was obscured in North Atlantic regions by hypercold winters associated with unusually extensive winter sea ice.</t>
  </si>
  <si>
    <t>Columbia Univ, Lamont Doherty Geol Observ, Palisades, NY 10964 USA; Univ Maine, Dept Earth Sci, Orono, ME 04469 USA; Univ Maine, Climate Change Inst, Orono, ME 04469 USA; GNS Sci, Dunedin, New Zealand; ETH Honggerberg, Inst Particle Phys, Paul Scherrer Inst, NL-8093 Zurich, Switzerland; Univ Zurich Irchel, Inst Geog, CH-8057 Zurich, Switzerland; Univ Oslo, N-0316 Oslo, Norway; New Mexico Inst Min &amp; Technol, Socorro, NM 87801 USA; Univ Cincinnati, Cincinnati, OH 45221 USA; Univ Bern, Inst Geol, CH-3012 Bern, Switzerland</t>
  </si>
  <si>
    <t>Columbia University; University of Maine System; University of Maine Orono; University of Maine System; University of Maine Orono; GNS Science - New Zealand; Swiss Federal Institutes of Technology Domain; Paul Scherrer Institute; University of Zurich; University of Oslo; New Mexico Institute of Mining Technology; University System of Ohio; University of Cincinnati; University of Bern</t>
  </si>
  <si>
    <t>Schaefer, JM (corresponding author), Columbia Univ, Lamont Doherty Geol Observ, Palisades, NY 10964 USA.</t>
  </si>
  <si>
    <t>schaefer@ldeo.columbia.edu</t>
  </si>
  <si>
    <t>Lowell, Thomas/0000-0001-7826-0636</t>
  </si>
  <si>
    <t>10.1126/science.1122872</t>
  </si>
  <si>
    <t>050XT</t>
  </si>
  <si>
    <t>WOS:000238124100044</t>
  </si>
  <si>
    <t>Saltzman, ES; Dioumaeva, I; Finley, BD</t>
  </si>
  <si>
    <t>Saltzman, Eric S.; Dioumaeva, Irina; Finley, Brandon D.</t>
  </si>
  <si>
    <t>Glacial/interglacial variations in methanesulfonate (MSA) in the Siple Dome ice core, West Antarctica</t>
  </si>
  <si>
    <t>BOUNDARY-LAYER; SOUTHERN-OCEAN; ROSS SEA; CLIMATE; SULFUR; CYCLE; ACID; SHEET; DIMETHYLSULFIDE; PHYTOPLANKTON</t>
  </si>
  <si>
    <t>Methanesulfonate (MSA) in the Siple Dome ice core is a record of the deposition of biogenic sulfur to the West Antarctic ice sheet covering the past 100 kyr. Siple Dome MSA levels were low during the last glacial maximum, and increased to higher Holocene levels with a several kyr lag relative to the deglacial warming. The positive correlation between MSA and temperature at Siple Dome is similar to that in Greenland ice cores (Renland, GISP2, and GRIP), and stands in contrast to the negative correlation observed at Vostok, East Antarctica. The Siple Dome MSA data suggest that the sign of the high latitude dust/sulfur/climate feedback is negative, at least for the Pacific sector of the high latitude Southern ocean. These results challenge the idea that fertilization by increased dust deposition led to widespread increased DMS emissions from this region of the glacial Southern Ocean.</t>
  </si>
  <si>
    <t>Univ Calif Irvine, Dept Earth Syst Sci, Irvine, CA 92697 USA</t>
  </si>
  <si>
    <t>University of California System; University of California Irvine</t>
  </si>
  <si>
    <t>Saltzman, ES (corresponding author), Univ Calif Irvine, Dept Earth Syst Sci, 3325 Croul Hall, Irvine, CA 92697 USA.</t>
  </si>
  <si>
    <t>eric.saltzman@uci.edu</t>
  </si>
  <si>
    <t>JUN 8</t>
  </si>
  <si>
    <t>L11811</t>
  </si>
  <si>
    <t>10.1029/2005GL025629</t>
  </si>
  <si>
    <t>052FR</t>
  </si>
  <si>
    <t>WOS:000238218400001</t>
  </si>
  <si>
    <t>Nakajima, H; Sugita, T; Yokota, T; Ishigaki, T; Mogi, Y; Araki, N; Waragai, K; Kimura, N; Iwazawa, T; Kuze, A; Tanii, J; Kawasaki, H; Horikawa, M; Togami, T; Uemura, N; Kobayashi, H; Sasano, Y</t>
  </si>
  <si>
    <t>Nakajima, H.; Sugita, T.; Yokota, T.; Ishigaki, T.; Mogi, Y.; Araki, N.; Waragai, K.; Kimura, N.; Iwazawa, T.; Kuze, A.; Tanii, J.; Kawasaki, H.; Horikawa, M.; Togami, T.; Uemura, N.; Kobayashi, H.; Sasano, Y.</t>
  </si>
  <si>
    <t>Characteristics and performance of the Improved Limb Atmospheric Spectrometer-II (ILAS-II) on board the ADEOS-II satellite</t>
  </si>
  <si>
    <t>ANTARCTIC OZONE HOLE; ART.; SIZE</t>
  </si>
  <si>
    <t>The Improved Limb Atmospheric Spectrometer-II (ILAS-II) monitored components associated with Polar ozone depletion. ILAS-II was on board the Advanced Earth Observing Satellite-II (ADEOS-II, Midori-II''), which was successfully launched on 14 December 2002 from the Tanegashima Space Center of the Japan Aerospace Exploration Agency (JAXA). ILAS-II used a solar occultation technique to measure vertical profiles of ozone (O-3), nitric acid (HNO3), nitrogen dioxide (NO2), nitrous oxide (N2O), methane (CH4), water vapor (H2O), chlorine nitrate (ClONO2), dinitrogen pentoxide (N2O5), CFC-11, CFC-12 and aerosol extinction coefficients at high latitudes in both the Northern and Southern hemispheres. ILAS-II included Sun-tracking optics and four spectrometers, a Sun-edge sensor, and electronics. The four spectrometers measured in the infrared (channel 1) between 6.21 and 11.76 mu m, in the midinfrared (channel 2) between 3.0 and 5.7 mu m, at high resolution in the infrared (channel 3) between 12.78 and 12.85 mu m, and in the visible (channel 4) between 753 and 784 nm. The vertical height of the entrance slit was 1 km at the tangent point. A Sun-edge sensor accurately registered tangent height. After an initial check of the instruments, ILAS-II recorded routine measurements for about 7 months, from 2 April 2003 to 24 October 2003, a period that included the formation and collapse of an Antarctic ozone hole in 2003 that was one of the largest in history. All of the ILAS-II data were processed using the version 1.4 data-processing algorithm. Validation analyses show promising results for some ILAS-II measurement species, which can be used to elucidate mechanisms of Polar ozone depletion. Studies are ongoing on ozone depletion, on the formation mechanisms of Polar stratospheric clouds, on denitrification, and on air mass descent. A state-of-the-art data retrieval algorithm that is currently being developed will yield more sophisticated data sets from the ILAS-II data in the near future.</t>
  </si>
  <si>
    <t>Natl Inst Environm Studies, Tsukuba, Ibaraki 3058506, Japan; Matsushita Elect Ind Co Ltd, Panason Syst Solut Co, Kohoku Ku, Yokohama, Kanagawa 2238639, Japan; NEC Toshiba Space Syst Ltd, Space Subsyst &amp; Equipment Div, Tokyo 1838551, Japan; Fujitsu FIP Co Ltd, Koto Ku, Tokyo 1358686, Japan</t>
  </si>
  <si>
    <t>National Institute for Environmental Studies - Japan; Panasonic; Toshiba Corporation; Fujitsu Ltd</t>
  </si>
  <si>
    <t>Nakajima, H (corresponding author), Natl Inst Environm Studies, 16-2 Onogawa, Tsukuba, Ibaraki 3058506, Japan.</t>
  </si>
  <si>
    <t>hide@nies.go.jp; tsugita@nies.go.jp; yoko@nies.go.jp; ishigaki@r9.dion.ne.jp; mogi.yuji@jp.panasonic.com; araki.nobuhiro@jp.panasonic.com; waragai.katsunori@jp.panasonic.com; kimura.norio@jp.panasonic.com; iwazawa.toshiyuki@jp.panasonic.com; kuze.akihiko@jaxa.jp; tanii.jun@ntspace.jp; kawasaki@ilas2.nies.go.jp; horikawa@ilas2.nies.go.jp; toga@ilas2.nies.go.jp; uemura@ilas2.nies.go.jp; koba@criepi.denken.or.jp; sasano@nies.go.jp</t>
  </si>
  <si>
    <t>Nakajima, Hideaki/M-8845-2019; Sasano, Yasuhiro/AAL-8184-2020; Sugita, Takafumi/H-6669-2018; KUZE, AKIHIKO/J-2074-2016</t>
  </si>
  <si>
    <t>Nakajima, Hideaki/0000-0002-2742-1230; Sasano, Yasuhiro/0000-0001-7470-5642; KUZE, AKIHIKO/0000-0001-5415-3377; Sugita, Takafumi/0000-0002-0508-7040</t>
  </si>
  <si>
    <t>JUN 7</t>
  </si>
  <si>
    <t>D11S01</t>
  </si>
  <si>
    <t>10.1029/2005JD006334</t>
  </si>
  <si>
    <t>052FY</t>
  </si>
  <si>
    <t>WOS:000238219200004</t>
  </si>
  <si>
    <t>Priede, IG; Froese, R; Bailey, DM; Bergstad, OA; Collins, MA; Dyb, JE; Henriques, C; Jones, EG; King, N</t>
  </si>
  <si>
    <t>Priede, Imants G.; Froese, Rainer; Bailey, David M.; Bergstad, Odd Aksel; Collins, Martin A.; Dyb, Jan Erik; Henriques, Camila; Jones, Emma G.; King, Nicola</t>
  </si>
  <si>
    <t>The absence of sharks from abyssal regions of the world's oceans</t>
  </si>
  <si>
    <t>chondrichthyes; sharks; deep-sea fishes; abyss; elasmobranches</t>
  </si>
  <si>
    <t>SEA DEMERSAL FISHES; IN-SITU; NORTHEAST ATLANTIC; ACOUSTIC TRACKING; SEASONAL-CHANGE; BAITED CAMERA; DEEP; BEHAVIOR; GRENADIER; CORYPHAENOIDES-(NEMATONURUS)-ARMATUS</t>
  </si>
  <si>
    <t>The oceanic abyss (depths greater than 3000 m), one of the largest environments on the planet, is characterized by absence of solar light, high pressures and remoteness from surface food supply necessitating special molecular, physiological, behavioural and ecological adaptations of organisms that live there. Sampling by trawl, baited hooks and cameras we show that the Chondrichthyes (sharks, rays and chimaeras) are absent from, or very rare in this region. Analysis of a global data set shows a trend of rapid disappearance of chondrichthyan species with depth when compared with bony fishes. Sharks, apparently well adapted to life at high pressures are conspicuous on slopes down to 2000 m including scavenging at food falls such as dead whales. We propose that they are excluded from the abyss by high-energy demand, including an oil-rich liver for buoyancy, which cannot be sustained in extreme oligotrophic conditions. Sharks are apparently confined to ca 30% of the total ocean and distribution of many species is fragmented around sea mounts, ocean ridges and ocean margins. All populations are therefore within reach of human fisheries, and there is no hidden reserve of chondrichthyan biomass or biodiversity in the deep sea. Sharks may be more vulnerable to over-exploitation than previously thought.</t>
  </si>
  <si>
    <t>Univ Aberdeen, Aberdeen AB41 6AA, Scotland; IfM GEOMAR, Leibniz Inst Meereswissensch, D-24105 Kiel, Germany; Univ Calif San Diego, Scripps Inst Oceanog, Div Marine Biol Res, La Jolla, CA 92093 USA; Inst Marine Res, Flodevigen Marine Res Stn, N-4817 His, Norway; British Antarctic Survey, NERC, Cambridge CB3 0ET, England; More Res, Sect Fisheries, N-6021 Alesund, Norway; FRS Marine Lab, Aberdeen AB11 9DB, Scotland</t>
  </si>
  <si>
    <t>University of Aberdeen; Helmholtz Association; GEOMAR Helmholtz Center for Ocean Research Kiel; University of California System; University of California San Diego; Scripps Institution of Oceanography; Institute of Marine Research - Norway; UK Research &amp; Innovation (UKRI); Natural Environment Research Council (NERC); NERC British Antarctic Survey</t>
  </si>
  <si>
    <t>Priede, IG (corresponding author), Univ Aberdeen, Aberdeen AB41 6AA, Scotland.</t>
  </si>
  <si>
    <t>i.g.priede@abdn.ac.uk</t>
  </si>
  <si>
    <t>, Martin/ABE-6728-2020; Froese, Rainer/C-9687-2009; Collins, Martin A/J-8560-2017; Bailey, David/A-6240-2008</t>
  </si>
  <si>
    <t>, Martin/0000-0001-7132-8650; Froese, Rainer/0000-0001-9745-636X; Bergstad, Odd Aksel/0000-0002-4096-0896; Bailey, David/0000-0002-0824-8823; Priede, Imants/0000-0002-5064-9751</t>
  </si>
  <si>
    <t>10.1098/rspb.2005.3461</t>
  </si>
  <si>
    <t>045ZB</t>
  </si>
  <si>
    <t>Green Accepted, Green Published</t>
  </si>
  <si>
    <t>WOS:000237780100018</t>
  </si>
  <si>
    <t>Davidsen, J; Grassberger, P; Paczuski, M</t>
  </si>
  <si>
    <t>Davidsen, Joern; Grassberger, Peter; Paczuski, Maya</t>
  </si>
  <si>
    <t>Earthquake recurrence as a record breaking process</t>
  </si>
  <si>
    <t>THRESHOLD SYSTEMS; COMPLEX NETWORKS; FAULT SYSTEMS; DYNAMICS</t>
  </si>
  <si>
    <t>Extending the central concept of recurrence times for a point process to recurrent events in space-time allows us to characterize seismicity as a record breaking process using only spatiotemporal relations among events. Linking record breaking events with edges between nodes in a graph generates a complex dynamical network isolated from any length, time or magnitude scales set by the observer. For Southern California, the network of recurrences reveals new statistical features of seismicity with robust scaling laws. The rupture length and its scaling with magnitude emerges as a generic measure for distance between recurrent events. Further, the relative separations for subsequent records in space ( or time) form a hierarchy with unexpected scaling properties.</t>
  </si>
  <si>
    <t>Max Planck Inst Phys Komplexer Syst, Dresden, Germany; Perimeter Inst Theoret Phys, Waterloo, ON, Canada; Forschungszentrum Julich, John Von Neumann Inst Comp, D-52425 Julich, Germany; Univ Calgary, Dept Phys &amp; Astron, Complex Sci Grp, Calgary, AB T2N 1N4, Canada</t>
  </si>
  <si>
    <t>Max Planck Society; Perimeter Institute for Theoretical Physics; Helmholtz Association; Research Center Julich; University of Calgary</t>
  </si>
  <si>
    <t>Davidsen, J (corresponding author), British Antarctic Survey, High Cross,Madingley Rd, Cambridge CB3 0ET, England.</t>
  </si>
  <si>
    <t>j.davidsen@bas.ac.uk</t>
  </si>
  <si>
    <t>Grasberger, Peter/ABA-5538-2021</t>
  </si>
  <si>
    <t>Grasberger, Peter/0000-0003-4966-9998</t>
  </si>
  <si>
    <t>JUN 6</t>
  </si>
  <si>
    <t>L11304</t>
  </si>
  <si>
    <t>10.1029/2006GL026122</t>
  </si>
  <si>
    <t>052FN</t>
  </si>
  <si>
    <t>WOS:000238217800006</t>
  </si>
  <si>
    <t>van de Berg, WJ; van den Broeke, MR; Reijmer, CH; van Meijgaard, E</t>
  </si>
  <si>
    <t>van de Berg, W. J.; van den Broeke, M. R.; Reijmer, C. H.; van Meijgaard, E.</t>
  </si>
  <si>
    <t>Reassessment of the Antarctic surface mass balance using calibrated output of a regional atmospheric climate model</t>
  </si>
  <si>
    <t>DRONNING MAUD-LAND; SNOW ACCUMULATION; TEMPORAL VARIABILITY; EAST ANTARCTICA; ICE-SHEET; PRECIPITATION; AMUNDSENISEN; ROUGHNESS; RECORDS; RATES</t>
  </si>
  <si>
    <t>A detailed comparison of model-simulated and observed Antarctic surface mass balance (SMB) is presented, using output of a regional atmospheric climate model (RACMO2/ANT) for the period 1980 to 2004. All available SMB observations from Antarctica (N = 1900) are used for the comparison, except clearly erroneous observations and data which are in areas where dominant SMB patterns occur on scales smaller than the model resolution. A high correlation is found (r = 0.82), while the regression slope (1.2) indicates that the model slightly overemphasizes SMB gradients. Comparing the model SMB with the latest SMB compilation, a similarly high correlation is found (r = 0.79), but the regression slope is much too steep because model-simulated SMB agrees less with the compilation in data-sparse regions. Model-simulated SMB resembles the observed SMB as a function of elevation very well. This is used to calibrate model-simulated SMB to reassess the contemporary Antarctic SMB. Compared to the latest SMB compilation, calibrated model-simulated SMB is up to 1 m yr(-1) higher in the coastal zones of East and West Antarctica, which are without exception in areas with few observations. As a result, the SMB integrated over the grounded ice sheet (171 +/- 3 mm yr(-1)) exceeds previous estimates by as much as 15%. Support or falsification of this model result can only be found in new SMB observations from high accumulation regions.</t>
  </si>
  <si>
    <t>Univ Utrecht, Inst Marine &amp; Atmospher Res Utrecht, IMAU, NL-3584 CC Utrecht, Netherlands; KNMI, NL-3732 GK De Bilt, Netherlands</t>
  </si>
  <si>
    <t>Utrecht University; Royal Netherlands Meteorological Institute</t>
  </si>
  <si>
    <t>van de Berg, WJ (corresponding author), Univ Utrecht, Inst Marine &amp; Atmospher Res Utrecht, IMAU, Princetonpl 5, NL-3584 CC Utrecht, Netherlands.</t>
  </si>
  <si>
    <t>w.j.vandeberg@phys.uu.nl</t>
  </si>
  <si>
    <t>Van den Broeke, Michiel R./F-7867-2011; van de Berg, Willem Jan/H-4385-2011; Reijmer, Carleen H/G-8736-2011</t>
  </si>
  <si>
    <t>Van den Broeke, Michiel R./0000-0003-4662-7565; van de Berg, Willem Jan/0000-0002-8232-2040; Reijmer, Carleen H/0000-0001-8299-3883</t>
  </si>
  <si>
    <t>JUN 3</t>
  </si>
  <si>
    <t>D11104</t>
  </si>
  <si>
    <t>10.1029/2005JD006495</t>
  </si>
  <si>
    <t>050EU</t>
  </si>
  <si>
    <t>WOS:000238071100002</t>
  </si>
  <si>
    <t>Semane, N; Bencherif, H; Morel, B; Hauchecorne, A; Diab, RD</t>
  </si>
  <si>
    <t>Semane, N.; Bencherif, H.; Morel, B.; Hauchecorne, A.; Diab, R. D.</t>
  </si>
  <si>
    <t>An unusual stratospheric ozone decrease in the Southern Hemisphere subtropics linked to isentropic air-mass transport as observed over Irene (25.5° S, 28.1° E) in mid-May 2002</t>
  </si>
  <si>
    <t>POLAR VORTEX; VARIABILITY; MODEL; SCALE; HOLE; CLIMATOLOGY; TROPOSPHERE; ANTARCTICA; DEPLETION; BARRIER</t>
  </si>
  <si>
    <t>A prominent ozone minimum of less than 240 Dobson Units ( DU) was observed over Irene ( 25.5 degrees S, 28.1 degrees E), a subtropical site in the Southern Hemisphere, by the Total Ozone Mapping Spectrometer ( TOMS) during May 2002 with an extremely low ozone value of less than 219DU recorded on 12 May, as compared to the climatological mean value of 249DU for May between 1999 and 2005. In this study, the vertical structure of this ozone minimum is examined using ozonesonde measurements performed over Irene on 15 May 2002, when the total ozone ( as given by TOMS) was about 226DU. It is shown that this ozone minimum is of Antarctic polar origin with a low-ozone layer in the middle stratosphere above 625K ( where the climatological ozone gradient points equatorward), and is of tropical origin with a low-ozone layer in the lower stratosphere between the 400-K and 450-K isentropic levels ( where the climatological ozone gradient is reversed). The upper and lower depleted parts of the ozonesonde profile for 15 May are then respectively attributed to equatorward and poleward transport of low-ozone air toward the subtropics in the Southern Hemisphere. The tropical air moving over Irene and the polar one passing over the same area associated with enhanced planetary-wave activity are successfully simulated using the high-resolution advection contour model of Ertel's potential vorticity MIMOSA. The unusual distribution of ozone over Irene during May 2002 in the middle stratosphere is connected to the anomalously pre-conditioned structure of the polar vortex at that time of the year. The winter stratospheric wave driving leading to the ozone minimum is investigated by means of the Eliassen-Palm flux computed from the European Center for Medium-range Weather Forecasts (ECMWF) ERA40 reanalyses.</t>
  </si>
  <si>
    <t>Univ Reunion, Lab Atmosphere &amp; Cyclones, CNRS, UMR 8105, St Denis, Reunion, France; CNRS, Serv Aeron, UMR 7620, Paris, France; Univ Kwazulu Natal, Durban, South Africa; Direct Meteorol Natl, Ctr Natl Rech Meteorol, Casablanca, Morocco</t>
  </si>
  <si>
    <t>Centre National de la Recherche Scientifique (CNRS); CNRS - National Institute for Earth Sciences &amp; Astronomy (INSU); University of La Reunion; Centre National de la Recherche Scientifique (CNRS); University of Kwazulu Natal</t>
  </si>
  <si>
    <t>Semane, N (corresponding author), Ctr Natl Rech Meteorol, Toulouse, France.</t>
  </si>
  <si>
    <t>noureddine.semane@cnrm.meteo.fr</t>
  </si>
  <si>
    <t>Hauchecorne, Alain/A-8489-2013; Bencherif, Hassan/F-1671-2010; Diab, Roseanne Denise/HHM-4273-2022</t>
  </si>
  <si>
    <t>Diab, Roseanne/0000-0002-3564-8320; Hauchecorne, Alain/0000-0001-9888-6994; MOREL, Beatrice/0000-0002-5167-8044</t>
  </si>
  <si>
    <t>JUN 2</t>
  </si>
  <si>
    <t>10.5194/acp-6-1927-2006</t>
  </si>
  <si>
    <t>048XA</t>
  </si>
  <si>
    <t>Green Submitted, gold, Green Published</t>
  </si>
  <si>
    <t>WOS:000237978600002</t>
  </si>
  <si>
    <t>Nakajima, H; Sugita, T; Irie, H; Saitoh, N; Kanzawa, H; Oelhaf, H; Wetzel, G; Toon, GC; Sen, B; Blavier, JF; Traub, WA; Jucks, K; Johnson, DG; Yokota, T; Sasano, Y</t>
  </si>
  <si>
    <t>Nakajima, H.; Sugita, T.; Irie, H.; Saitoh, N.; Kanzawa, H.; Oelhaf, H.; Wetzel, G.; Toon, G. C.; Sen, B.; Blavier, J. -F.; Traub, W. A.; Jucks, K.; Johnson, D. G.; Yokota, T.; Sasano, Y.</t>
  </si>
  <si>
    <t>Measurements of ClONO2 by the Improved Limb Atmospheric Spectrometer (ILAS) in high-latitude stratosphere:: New products using version 6.1 data processing algorithm</t>
  </si>
  <si>
    <t>NITRIC-ACID TRIHYDRATE; ARCTIC VORTEX; SPECTROSCOPIC DATABASE; RETRIEVAL ALGORITHM; OPTICAL-CONSTANTS; CHLORINE NITRATE; OZONE DEPLETION; POLAR VORTEX; VALIDATION; PROFILES</t>
  </si>
  <si>
    <t>We report the first continuous measurements of chlorine nitrate (ClONO2) in high-latitude regions taken by the Improved Limb Atmospheric Spectrometer (ILAS) on board the Advanced Earth Observing Satellite (ADEOS) and processed using the latest data retrieval algorithm (version 6.1). Performance of the measurements, validation with three balloon-borne sensors, and seasonal variation of ClONO2 in the Arctic and Antarctic stratosphere are presented, as well as a brief description of the version 6.1 algorithm and data characteristics for both the Arctic and Antarctic. Although the ILAS-measured ClONO2 data show, on average, similar to 30% lower values than the validation data, they agree with validation data within the combined total error (similar to 20-40%) of the ClONO2 measurements at similar to 15- to 32-km altitudes. In the Arctic, enhancement of ClONO2 amounts was observed in spring 1997 after the appearance of polar stratospheric clouds (PSCs) inside the polar vortex. This is the result of preference for ClONO2 formation rather than HCl after the activation of ClOx in this Arctic spring of 1997. In the Antarctic, ClONO2 amounts showed strong local time/latitudinal dependence around the austral fall equinox in 1997.</t>
  </si>
  <si>
    <t>Natl Inst Environm Studies, Tsukuba, Ibaraki 3058506, Japan; Japan Agcy Marine Earth Sci &amp; Technol, Frontier Res Ctr Global Change, Yokohama, Kanagawa 2360001, Japan; Nagoya Univ, Grad Sch Environm Studies, Nagoya, Aichi 4648601, Japan; Forschungszentrum Karlsruhe, Inst Meteorol &amp; Klimaforsch, D-76021 Karlsruhe, Germany; CALTECH, Jet Prop Lab, Pasadena, CA 91109 USA; Harvard Smithsonian Ctr Astrophys, Cambridge, MA 02138 USA; NASA, Langley Res Ctr, Hampton, VA 23681 USA</t>
  </si>
  <si>
    <t>National Institute for Environmental Studies - Japan; Japan Agency for Marine-Earth Science &amp; Technology (JAMSTEC); Nagoya University; Helmholtz Association; Karlsruhe Institute of Technology; California Institute of Technology; National Aeronautics &amp; Space Administration (NASA); NASA Jet Propulsion Laboratory (JPL); Harvard University; Smithsonian Astrophysical Observatory; Smithsonian Institution; National Aeronautics &amp; Space Administration (NASA); NASA Langley Research Center</t>
  </si>
  <si>
    <t>Nakajima, H (corresponding author), Natl Inst Environm Studies, Tsukuba, Ibaraki 3058506, Japan.</t>
  </si>
  <si>
    <t>hide@nies.go.jp</t>
  </si>
  <si>
    <t>Oelhaf, Hermann A/A-7895-2013; Irie, Hitoshi/AAW-6024-2021; Sasano, Yasuhiro/AAL-8184-2020; Wetzel, Gerald/A-7065-2013; Sugita, Takafumi/H-6669-2018; Nakajima, Hideaki/M-8845-2019; Johnson, David/F-2376-2015</t>
  </si>
  <si>
    <t>Sasano, Yasuhiro/0000-0001-7470-5642; Wetzel, Gerald/0000-0002-6671-0297; Nakajima, Hideaki/0000-0002-2742-1230; Johnson, David/0000-0003-4399-5653; Sugita, Takafumi/0000-0002-0508-7040</t>
  </si>
  <si>
    <t>D11S09</t>
  </si>
  <si>
    <t>10.1029/2005JD006441</t>
  </si>
  <si>
    <t>050ES</t>
  </si>
  <si>
    <t>WOS:000238070900003</t>
  </si>
  <si>
    <t>Flückiger, J; Knutti, R; White, JWC</t>
  </si>
  <si>
    <t>Fluckiger, Jacqueline; Knutti, Reto; White, James W. C.</t>
  </si>
  <si>
    <t>Oceanic processes as potential trigger and amplifying mechanisms for Heinrich events</t>
  </si>
  <si>
    <t>LAST GLACIAL PERIOD; SEA-LEVEL CHANGES; ATLANTIC THERMOHALINE CIRCULATION; MIXED BOUNDARY-CONDITIONS; DEEP-WATER FORMATION; ANTARCTIC ICE-SHEET; NORTH-ATLANTIC; CLIMATE-CHANGE; ATMOSPHERE MODEL; COUPLED CLIMATE</t>
  </si>
  <si>
    <t>Marine sediments recorded a series of Heinrich events during the last glacial period, massive ice surges that deposited prominent layers of ice-rafted debris in the North Atlantic. Here we explore oceanic mechanisms that can potentially trigger and amplify the observed ice calving events. Simulations of abrupt glacial climate change with a coupled ocean-atmosphere- sea ice model show a substantial regional sea level rise in the North Atlantic in response to a collapse of the Atlantic meridional overturning circulation (MOC). The increased heat uptake of the global ocean after the MOC collapse leads to an additional rise in global sea level. We hypothesize that these sea level changes have the potential to destabilize Northern Hemisphere ice shelves and ice sheets and to trigger ice surges. Sea level rise due to ice calving and subsurface ocean warming provides two positive feedback mechanisms contributing to further destabilization of ice shelves and ice sheets.</t>
  </si>
  <si>
    <t>Univ Colorado, Inst Arctic &amp; Alpine Res, Boulder, CO 80309 USA; Natl Ctr Atmospher Res, Boulder, CO 80307 USA</t>
  </si>
  <si>
    <t>University of Colorado System; University of Colorado Boulder; National Center Atmospheric Research (NCAR) - USA</t>
  </si>
  <si>
    <t>Flückiger, J (corresponding author), Univ Colorado, Inst Arctic &amp; Alpine Res, Campus Box 450, Boulder, CO 80309 USA.</t>
  </si>
  <si>
    <t>flueckiger@colorado.edu</t>
  </si>
  <si>
    <t>Knutti, Reto/B-8763-2008; White, James W.C./A-7845-2009; Fluckiger, Jacqueline/G-3457-2011</t>
  </si>
  <si>
    <t>Knutti, Reto/0000-0001-8303-6700;</t>
  </si>
  <si>
    <t>PA2014</t>
  </si>
  <si>
    <t>10.1029/2005PA001204</t>
  </si>
  <si>
    <t>050FZ</t>
  </si>
  <si>
    <t>WOS:000238074200001</t>
  </si>
  <si>
    <t>Flinn, ED</t>
  </si>
  <si>
    <t>GRACE detects loss of Antarctic ice</t>
  </si>
  <si>
    <t>AEROSPACE AMERICA</t>
  </si>
  <si>
    <t>edflinn@pipeline.com</t>
  </si>
  <si>
    <t>AMER INST AERONAUT ASTRONAUT</t>
  </si>
  <si>
    <t>RESTON</t>
  </si>
  <si>
    <t>1801 ALEXANDER BELL DRIVE, STE 500, RESTON, VA 22091-4344 USA</t>
  </si>
  <si>
    <t>0740-722X</t>
  </si>
  <si>
    <t>AEROSPACE AM</t>
  </si>
  <si>
    <t>Aerosp. Am.</t>
  </si>
  <si>
    <t>JUN</t>
  </si>
  <si>
    <t>Engineering, Aerospace</t>
  </si>
  <si>
    <t>Engineering</t>
  </si>
  <si>
    <t>054MA</t>
  </si>
  <si>
    <t>WOS:000238379800008</t>
  </si>
  <si>
    <t>Walton, D</t>
  </si>
  <si>
    <t>Antarctic biosecurity - making it happen</t>
  </si>
  <si>
    <t>ANTARCTIC SCIENCE</t>
  </si>
  <si>
    <t>Walton, David/0000-0002-7103-4043</t>
  </si>
  <si>
    <t>Natural Environment Research Council [bas010011] Funding Source: researchfish; NERC [bas010011] Funding Source: UKRI</t>
  </si>
  <si>
    <t>40 WEST 20TH ST, NEW YORK, NY 10011-4211 USA</t>
  </si>
  <si>
    <t>0954-1020</t>
  </si>
  <si>
    <t>ANTARCT SCI</t>
  </si>
  <si>
    <t>Antarct. Sci.</t>
  </si>
  <si>
    <t>10.1017/S0954102006000174</t>
  </si>
  <si>
    <t>Environmental Sciences; Geography, Physical; Geosciences, Multidisciplinary</t>
  </si>
  <si>
    <t>Environmental Sciences &amp; Ecology; Physical Geography; Geology</t>
  </si>
  <si>
    <t>047SM</t>
  </si>
  <si>
    <t>WOS:000237899000001</t>
  </si>
  <si>
    <t>Petti, MAV; Nonato, EF; Skowronski, RSP; Corbisier, TN</t>
  </si>
  <si>
    <t>Bathymetric distribution of the meiofaunal polychaetes in the nearshore zone of Martel Inlet, King George Island, Antarctica</t>
  </si>
  <si>
    <t>benthos; coastal zone; South Shetland Islands</t>
  </si>
  <si>
    <t>SOUTH-SHETLAND-ISLANDS; BENTHIC COMMUNITIES; ADMIRALTY BAY; SOFT BOTTOMS; ROSS SEA; ENVIRONMENT; DISTURBANCE; BIOMASS</t>
  </si>
  <si>
    <t>Polychaetes, the dominant macrofaunal taxa of the Antarctic soft sediments, provided more than 40% of the animals found in Martel Inlet. However, little information is available on the composition of meiofaunal communities in polar areas. This study identified the meiofaunal polychaete species and described their bathymetric distribution in the nearshore zone. Sediment cores were taken by divers from 6-25 in depth in the summer of 1991 and 1994 in front of the Brazilian Antarctic Station (Martel Inlet, Admiralty Bay). Additional sampling was done at the 18 in depth in 1994 in order to study the influence of ice scouring. A total of 1895 specimens in 17 families were found. Three species (Apistobranchus glacierae, Leitoscoloplos kerguelensis and Ophryotrocha notialis), all of them belonging to the temporary meiofauna, provided more than 70% of the total polychaete fraction. This meiofaunal component showed similar distributional patterns to those of the macrofaunal polychaetes in this area.</t>
  </si>
  <si>
    <t>Univ Sao Paulo, Inst Oceanog, Dept Oceanog Biol, BR-05508900 Sao Paulo, Brazil</t>
  </si>
  <si>
    <t>Universidade de Sao Paulo</t>
  </si>
  <si>
    <t>Petti, MAV (corresponding author), Univ Sao Paulo, Inst Oceanog, Dept Oceanog Biol, Praca Oceanog,191, BR-05508900 Sao Paulo, Brazil.</t>
  </si>
  <si>
    <t>mapetti@usp.b</t>
  </si>
  <si>
    <t>Corbisier, Thais N./R-8255-2017; Petti, Monica A V/S-6367-2016</t>
  </si>
  <si>
    <t>10.1017/S0954102006000186</t>
  </si>
  <si>
    <t>WOS:000237899000002</t>
  </si>
  <si>
    <t>Lescroël, A; Bost, CA</t>
  </si>
  <si>
    <t>Lescroel, Amelie; Bost, Charles-Andre</t>
  </si>
  <si>
    <t>Recent decrease in gentoo penguin populations at Iles Kerguelen</t>
  </si>
  <si>
    <t>global warming; population trend; Pygoscelis papua; Southern Ocean; sub-Antarctic</t>
  </si>
  <si>
    <t>LONG-TERM CHANGES; SOUTHERN-OCEAN; SEABIRDS; DIET; CROZET; TRENDS; VARIABILITY; INDICATORS; ANOMALIES; ISLAND</t>
  </si>
  <si>
    <t>Several sub-Antarctic penguin populations have exhibited decreasing trends in the last 5-20 years. At Iles Kerguelen, the gentoo penguin (Pygoscelis papua) has decreased by approximately 30% over the last 15 years. This decrease is likely to be related to reduced food availability for this coastal species. We discuss this decrease with regard to the impact of overfishing and to the potential effects of climate changes on marine food webs.</t>
  </si>
  <si>
    <t>CNRS, UPR 1934, Ctr Etud Biol Chize, F-79360 Villiers en Bois, France</t>
  </si>
  <si>
    <t>Lescroël, A (corresponding author), CNRS, UPR 1934, Ctr Etud Biol Chize, F-79360 Villiers en Bois, France.</t>
  </si>
  <si>
    <t>lescroel@cebc.cnrs.fr</t>
  </si>
  <si>
    <t>1365-2079</t>
  </si>
  <si>
    <t>10.1017/S0954102006000198</t>
  </si>
  <si>
    <t>WOS:000237899000003</t>
  </si>
  <si>
    <t>Hahn, S; Reinhardt, K</t>
  </si>
  <si>
    <t>Hahn, Steffen; Reinhardt, Klaus</t>
  </si>
  <si>
    <t>Habitat preference and reproductive traits in the Antarctic midge Parochlus steinenii (Diptera: Chironomidae)</t>
  </si>
  <si>
    <t>climate change; freshwater; lake; Maritime Antarctic; population; sex ratio; swarm</t>
  </si>
  <si>
    <t>CLIMATE-CHANGE; PENINSULA; IMPACTS; ISLANDS; PLANTS</t>
  </si>
  <si>
    <t>We provide the first comprehensive account of habitat preference, mating, oviposition and developmental stages of Parochlus steinenii. There are eight records from the South Shetland Islands. On King George Island, none out of 40 temporary ponds and 9% out of 44 lakes with variable water levels were inhabited by P steinenii. By contrast, 94% of 52 lakes with stable water levels were occupied, for 92% of which breeding was confirmed. Lakes were occupied independently of their height above sea level ranging from 5 to 115 in. The midges aggregated at two different microhabitats at the shoreline of lakes. Terrestrial swarms of more than 5000 individuals at open wind sheltered rocks were strongly dominated by males. Their mean density was 40, their maximum 150 ind. cm(-2). Aggregations under stones at the water edge showed a female-biased or equal sex ratio; their densities seasonally increased from 0.17 to 2.02 ind. cm(-2). Female midges produced one to four egg batches totalling on average 247 eggs/female. Four larval stages can be clearly discriminated by head length. Our data on the habitat preferences and the high reproductive output predict that P steinenii will rapidly colonize habitats that become available in the course of the regional warming of the Antarctic Peninsula region.</t>
  </si>
  <si>
    <t>Univ Jena, Inst Ecol, Bird &amp; Polar Ecol Grp, D-07743 Jena, Germany; Univ Sheffield, Dept Anim &amp; Plant Sci, Sheffield S10 2TN, S Yorkshire, England</t>
  </si>
  <si>
    <t>Friedrich Schiller University of Jena; University of Sheffield</t>
  </si>
  <si>
    <t>Hahn, S (corresponding author), Netherlands Inst Ecol, NIOO, KNAW, Ctr Limnol,Dept Plant Anim Interact, POB 1299, NL-3600 BG Maarssen, Netherlands.</t>
  </si>
  <si>
    <t>S.Hahn@nioo.knaw.nl</t>
  </si>
  <si>
    <t>10.1017/S0954102006000204</t>
  </si>
  <si>
    <t>WOS:000237899000004</t>
  </si>
  <si>
    <t>La Mesa, M; Caputo, V; Rampa, R; Eastman, JT</t>
  </si>
  <si>
    <t>Gametogenesis in the Antarctic plunderfishes Artedidraco lonnbergi and Artedidraco skottsbergi (Pisces: Artedidraconidae) from the Ross Sea</t>
  </si>
  <si>
    <t>fecundity; High Antarctic zone; histology; reproduction; spawning period</t>
  </si>
  <si>
    <t>DOLLOIDRACO-LONGEDORSALIS PERCIFORMES; WEDDELL-SEA; REPRODUCTIVE-BIOLOGY; NOTOTHENIOID FISH; BEAGLE-CHANNEL; OOCYTE GROWTH; MENTAL BARBEL; SPERMATOGENESIS; CHANNICHTHYIDAE; HARPAGIFERIDAE</t>
  </si>
  <si>
    <t>The Antarctic plunderfishes Artedidraco lonnbergi and A. skottsbergi are small, bottom dwelling species inhabiting the continental shelf of the High Antarctic Zone. During cruise 97-9 of the US RV Nathaniel Palmer during the summer in the south-western Ross Sea, samples of both species were collected by means of bottom trawling. On the basis of macroscopic and histological analysis, we present the first data on the reproductive characteristics of these two plunderfishes, including gametogenesis, spawning period and absolute fecundity. Histologically, we found immature (stage I and II) and mature (stage V) females in both species, whereas developing females (stage III) were found only in A. skottsbergi. All examined male specimens of A. skottsbergi were in the final stage of spermatogenesis (stage III), whereas male A. lonnbergi were immature (stage I), mature (stage IV) and post-reproductive (stage V) individuals. In both species, spawning takes place in summer during December and January. Absolute fecundity was very low, with less than 100 and 200 oocytes in A. lonnbergi and A. skottsbergi, respectively. These data are compared with those reported in literature for other artedidraconids.</t>
  </si>
  <si>
    <t>CNR, ISMAR, Ist Sci Marine, Sez Pesca Marittima, I-60125 Ancona, Italy; Univ Politecn Marche, Ist Biol &amp; Genet, I-60131 Ancona, Italy; Ohio Univ, Coll Osteopath Med, Dept Biomed Sci, Athens, OH 45701 USA</t>
  </si>
  <si>
    <t>Consiglio Nazionale delle Ricerche (CNR); Istituto di Scienze Marine (ISMAR-CNR); Marche Polytechnic University; University System of Ohio; Ohio University</t>
  </si>
  <si>
    <t>La Mesa, M (corresponding author), CNR, ISMAR, Ist Sci Marine, Sez Pesca Marittima, Largo Fiera Pesca, I-60125 Ancona, Italy.</t>
  </si>
  <si>
    <t>m.lamesa@ismar.cnr.it</t>
  </si>
  <si>
    <t>Eastman, Joseph T/A-9786-2008; Eastman, Joseph T./O-6150-2019; CNR, Ismar/P-1247-2014</t>
  </si>
  <si>
    <t>Eastman, Joseph T./0000-0003-3868-261X; CNR, Ismar/0000-0001-5351-1486</t>
  </si>
  <si>
    <t>10.1017/S0954102006000216</t>
  </si>
  <si>
    <t>WOS:000237899000005</t>
  </si>
  <si>
    <t>Raupach, MJ; Wägele, JW</t>
  </si>
  <si>
    <t>Distinguishing cryptic species in Antarctic Asellota (Crustacea: Isopoda) -: a preliminary study of mitochondrial DNA in Acanthaspidia drygalskii</t>
  </si>
  <si>
    <t>Acanthaspidiidae; Antarctica; haplotypes; phylogeny; 16S rDNA; Weddel Sea</t>
  </si>
  <si>
    <t>DEEP-SEA; GENETIC-VARIATION; MCMURDO SOUND; PERACARIDA; POLYMORPHISM; SYSTEMATICS; DIVERGENCE; SPECIATION; DIVERSITY; PHYLOGENY</t>
  </si>
  <si>
    <t>Acanthaspid isopods are well known from the deep sea regions of all oceans. Many species have been found also on the continental shelf around Antarctica. Phylogenetic relationships within the Acanthaspidiidae and the genetic differentiation of populations are poorly understood. In this study we analysed 16S rRNA gene sequences of 36 specimens of Acanthaspidiidae, including 17 specimens of Acanthaspidia drygalskii Vanhoffen, 1914. This species is known from several locations along the Antarctic shelf, supporting the idea of a circum-Antarctic distribution of this taxon. Our molecular data support the monophyly of all six species analysed, but there is only limited evidence for the interspecific relationships between the species. However, we were able to identify three distinct groups of haplotypes within Acanthaspidia drygaskii. Our results indicate the evidence of cryptic, reproductively isolated species. Further data are needed to understand mechanisms underlying speciation in deep sea isopods.</t>
  </si>
  <si>
    <t>Ruhr Univ Bochum, Lehrstuhl Spezielle Zool, D-44780 Bochum, Germany; Univ Bonn, Fachgrp Biol, Lehrstuhl Spezielle Zool, D-53113 Bonn, Germany</t>
  </si>
  <si>
    <t>Ruhr University Bochum; University of Bonn</t>
  </si>
  <si>
    <t>Raupach, MJ (corresponding author), ZFMK, Adenauerallee 160, D-53113 Bonn, Germany.</t>
  </si>
  <si>
    <t>michael.raupach@rub.de</t>
  </si>
  <si>
    <t>Raupach, Michael J./AAF-7566-2020; Raupach, Michael/G-7072-2012</t>
  </si>
  <si>
    <t>Raupach, Michael J./0000-0001-8299-6697;</t>
  </si>
  <si>
    <t>10.1017/S0954102006000228</t>
  </si>
  <si>
    <t>WOS:000237899000006</t>
  </si>
  <si>
    <t>Barbraud, C; DeLord, K</t>
  </si>
  <si>
    <t>Population census of blue petrels Halobaena caerulea at Mayes Island, Iles Kerguelen</t>
  </si>
  <si>
    <t>burrow density; burrow occupancy; playback; population size; sampling</t>
  </si>
  <si>
    <t>SOUTH GEORGIA; DYNAMICS; CLIMATE; BIRD</t>
  </si>
  <si>
    <t>The blue petrel (Halobaena caerulea) is a small pelagic seabird breeding on just a few Southern Ocean islands. Although it is known that oceanographic and climatic variability affect mortality rates, individual body condition and reproductive success, very few data are available on the global population status. We assessed the status of blue petrels at Mayes Island, Iles Kerguelen, in 2002 by estimating burrow densities and burrow occupancy using acoustic playbacks and response probability. The mean and highest burrow densities recorded were respectively 0.136 +/- 0.026 and 2.3 entrances per m(2). Burrow occupancy increased with burrow density but stabilized at c. 0.6 occupied burrows per m(2). Taking into account the response probability to playback (0.819) the mean burrow occupancy density was 0.037 +/- 0.094 per m(2), giving an estimated 142 000 (95% CI around 106 000-179 000) or 148 000 breeding pairs (95% Cl around 55 000-241 000) on Mayes Island, respectively with and without taking into account spatial autocorrelation in burrow densities. This suggests that the entire breeding population of blue petrels at Kerguelen is much higher than current estimates, and that Kerguelen and Diego Ramirez archipelagos are key breeding sites for this species.</t>
  </si>
  <si>
    <t>CNRS, UPR1934, Ctr Etud Biol Chize, F-79360 Villiers en Bois, France</t>
  </si>
  <si>
    <t>Barbraud, C (corresponding author), CNRS, UPR1934, Ctr Etud Biol Chize, F-79360 Villiers en Bois, France.</t>
  </si>
  <si>
    <t>barbraud@cebc.cnrs.fr</t>
  </si>
  <si>
    <t>Barbraud, Christophe/A-5870-2012</t>
  </si>
  <si>
    <t>Barbraud, Christophe/0000-0003-0146-212X</t>
  </si>
  <si>
    <t>10.1017/S095410200600023X</t>
  </si>
  <si>
    <t>WOS:000237899000007</t>
  </si>
  <si>
    <t>Hernandez, EA; Ferreyra, GA; Mac Cormack, WP</t>
  </si>
  <si>
    <t>Hernandez, Edgardo A.; Ferreyra, Gustavo A.; Mac Cormack, Walter P.</t>
  </si>
  <si>
    <t>Response of two Antarctic marine bacteria to different natural UV radiation doses and wavelengths</t>
  </si>
  <si>
    <t>Antarctic microorganisms; solar radiation; UV filters; ozone depletion</t>
  </si>
  <si>
    <t>SOLAR ULTRAVIOLET-RADIATION; SUBSEQUENT RECOVERY; B RADIATION; FRESH-WATER; BACTERIOPLANKTON; INHIBITION; DNA; PHOTOSYNTHESIS; ZOOPLANKTON; SENSITIVITY</t>
  </si>
  <si>
    <t>The aim of this work was to investigate the effect of different fractions of UVR on two Antarctic marine bacteria (Arthrobacter UVvi and FCB-related UVps strains) and to study the relationship between the bacterial viability and the UVB dose. Ten experiments exposing strains to natural solar radiation were conducted in Potter Cove, South Shetland Islands. The effect of different UVR wavelengths on viability was analysed by using cultures in quartz bottles covered with interferential filters. Six treatments were performed: DARK, PAR (with UVR shielded off), UVA360, UVA320, UVB305 and UVB280. In all UVR treatments, strains showed significant losses of viability under high and moderate irradiance and no differences were observed between UV treatments. Under high UVB dose (15.0 kJ m(-2) received in only two hours), the effect of UVB treatments was significantly higher than that observed under UVA treatments. However, UVA caused a significant reduction on bacterial viability. Survival rates were negatively correlated with integrated UVB dose, FCB-related UVps being more sensitive than Arthobacter UVvi. The similar values observed in viability when the same dose was received in different time periods suggested that DNA repair mechanisms are not much effective in these strains. The different response to the UV wavelength ranges studied here suggests that changes in the spectral composition of natural radiation could differentially affect the components of Antarctic marine bacterial communities.</t>
  </si>
  <si>
    <t>Univ Buenos Aires, Fac Farm &amp; Bioquim, Catedra Biotecnol, RA-1113 Buenos Aires, DF, Argentina; Inst Antartico Argentino, RA-1010 Buenos Aires, DF, Argentina</t>
  </si>
  <si>
    <t>University of Buenos Aires; Instituto Antartico Argentino</t>
  </si>
  <si>
    <t>Mac Cormack, WP (corresponding author), Univ Buenos Aires, Fac Farm &amp; Bioquim, Catedra Biotecnol, Junin 956,6 Piso, RA-1113 Buenos Aires, DF, Argentina.</t>
  </si>
  <si>
    <t>wmac@ffyb.uba.ar</t>
  </si>
  <si>
    <t>Mac Cormack, Walter/0000-0002-5280-5463; Ferreyra, Gustavo Adolfo/0000-0003-1953-5067</t>
  </si>
  <si>
    <t>10.1017/S0954102006000241</t>
  </si>
  <si>
    <t>WOS:000237899000008</t>
  </si>
  <si>
    <t>Lewis, M; Campagna, C; Marin, MR; Fernandez, T</t>
  </si>
  <si>
    <t>Lewis, M.; Campagna, C.; Marin, M. R.; Fernandez, T.</t>
  </si>
  <si>
    <t>Southern elephant seals north of the Antarctic polar front</t>
  </si>
  <si>
    <t>home range; migration; Mirounga leonina; Peninsula Valdes</t>
  </si>
  <si>
    <t>MIROUNGA-LEONINA L.; FORAGING ECOLOGY; DIVING BEHAVIOR; ANNUAL CYCLE; POPULATION; ISLAND; TEMPERATURE; MOVEMENTS; GROWTH</t>
  </si>
  <si>
    <t>This paper reports on sightings and dispersion of individual southern elephant seals (Mirounga leonina) along the Atlantic and Pacific coasts of South America based on reports of tagged/marked seals from Patagonia and of animals of unknown origin. From 154 sightings, encompassing at least 354 individuals, we found that individuals dispersed to subequatorial latitudes on both sides of the continent, and to more temperate sites, in the Magellanic region of Tierra del Fuego. Nineteen sites were visited by tagged seals from the established colony of Peninsula Valdes (PV, Argentina). PV and the smaller seal population of the Falklands/Malvinas were regularly connected by adults of both sexes. There were more sightings of males than females. No incipient new breeding colonies were found along the Atlantic coast of South America. Some observations coincided with places where elephant seals had been recorded or exploited in the seventeenth and eighteenth centuries. A shortage of suitable habitat for expansion and proximity to predictable food could act as a stabilizing process preventing colonization of new areas from PV. Dispersion data, coherent with population genetics, support a Patagonian elephant seal stock.</t>
  </si>
  <si>
    <t>Consejo Nacl Invest Cient &amp; Tecn, Ctr Nacl Patagonico, RA-9120 Chubut, Argentina; Wildlife Conservat Int, Bronx, NY 10460 USA</t>
  </si>
  <si>
    <t>Consejo Nacional de Investigaciones Cientificas y Tecnicas (CONICET); Centro Nacional Patagonico (CENPAT); Wildlife Conservation Society</t>
  </si>
  <si>
    <t>Lewis, M (corresponding author), Consejo Nacl Invest Cient &amp; Tecn, Ctr Nacl Patagonico, Blvd Brown S-N, RA-9120 Chubut, Argentina.</t>
  </si>
  <si>
    <t>lewis@cenpat.edu.ar</t>
  </si>
  <si>
    <t>Campagna, Claudio/0000-0002-7971-5062; Lewis, Mirtha/0000-0001-6262-6226</t>
  </si>
  <si>
    <t>10.1017/S0954102006000253</t>
  </si>
  <si>
    <t>WOS:000237899000009</t>
  </si>
  <si>
    <t>Kock, KH; Pshenichnov, LK; Devries, AL</t>
  </si>
  <si>
    <t>Kock, K. -H.; Pshenichnov, L. K.; Devries, A. L.</t>
  </si>
  <si>
    <t>Evidence for egg brooding and parental care in icefish and other notothenioids in the Southern Ocean</t>
  </si>
  <si>
    <t>Antarctica; Chionobathyscus dewitti; reproductive behaviour; Ross Sea</t>
  </si>
  <si>
    <t>ANTARCTIC FISH; PATAGONIAN TOOTHFISH; REPRODUCTIVE-BIOLOGY; HARPAGIFER-BISPINIS; NESTING-BEHAVIOR; PISCES; CHANNICHTHYIDAE; RICHARDSON; ABUNDANCE; LARVAL</t>
  </si>
  <si>
    <t>One of the least known Antarctic fish species is the icefish Chionobathyscus dewitti described first in 1978. Some of its reproductive characteristics appear to be similar to other channichthyids of similar size and shape. Females close to spawning have gonado-somatic indices (GSIs) of more than 20, and absolute fecundity was 2967 to 15612 oocytes in females 33-62 cm long. Relative fecundity was 7.6 in one female. Spawning has been observed in the Ross Sea at 1300 to 1500 m depth from January to March. Chionobathyscus dewitti may exhibit a remarkable egg carrying behaviour: eggs stick together in batches around the pelvic fins of females. The comparatively large number of mature males observed with no indication of an egg batch attached to their ventral fins makes it unlikely that males are involved in egg carrying. The few larvae of C dewitti caught so far occurred from October onwards. Their size indicates that they have hatched as early as September. This suggests an incubation period of at least six months. We compare this with parental care reported in other notothenioids.</t>
  </si>
  <si>
    <t>Inst Seefischerei, Bundesforsch Anstalt Fischerei, D-22767 Hamburg, Germany; YugNIRO, Lab So Ocean Bioresources, UA-98300 Kerch, Ukraine; Univ Illinois, Dept Biol Anim, Urbana, IL 61801 USA</t>
  </si>
  <si>
    <t>Research lnstitute of Fisheries &amp; Oceanography; University of Illinois System; University of Illinois Urbana-Champaign</t>
  </si>
  <si>
    <t>Kock, KH (corresponding author), Inst Seefischerei, Bundesforsch Anstalt Fischerei, Palmaille 9, D-22767 Hamburg, Germany.</t>
  </si>
  <si>
    <t>karl-hermann.kock@ish.bfa-fisch.de</t>
  </si>
  <si>
    <t>10.1017/S0954102006000265</t>
  </si>
  <si>
    <t>WOS:000237899000010</t>
  </si>
  <si>
    <t>Hervé, F; Faúndez, V; Brix, M; Fanning, M</t>
  </si>
  <si>
    <t>Herve, Francisco; Faundez, Victor; Brix, Manfred; Fanning, Mark</t>
  </si>
  <si>
    <t>Jurassic sedimentation of the Miers Bluff Formation, Livingston Island, Antarctica:: evidence from SHRIMP U-Pb ages of detrital and plutonic zircons</t>
  </si>
  <si>
    <t>detrital zircon age spectra; early cretaceous plutonism; Hurd Peninsula; South Shetland Islands</t>
  </si>
  <si>
    <t>PENINSULA; CRUSTAL</t>
  </si>
  <si>
    <t>Detrital zircon populations from two sandstone samples from the lower member (Johnsons Dock Member) of the Miers Bluff Formation at Hurd Peninsula have been dated by the Sensitive High Resolution Ion Microprobe (SHRIMP) U-Pb method. In one of the samples, zircons as young as early Middle Jurassic (Bajocian) age are present. In the second sample, the youngest detrital zircons are Middle Triassic in age. The detrital zircon age spectra indicate that Permian, early Palaeozoic and Meso- to Neoproterozoic zircon bearing rocks were present in the source areas of the Miers Bluff Formation. The sedimentary rocks are intruded by the Hesperides Point Intrusive diorite stock which yielded a U-Pb zircon crystallization age of 137.7 +/- 1.4 Ma (Early Cretaceous, Valanginian). These results indicate that sedimentation of the Johnsons Dock Member of the Miers Bluff Formation is bracketed in time between the Bajocian and the Valanginian. The Miers Bluff Formation has been correlated with the Trinity Peninsula Group from the Antarctic Peninsula, based on sedimentological and structural similarity. Since the Trinity Peninsula Group is older than Middle Jurassic a direct chronological correlation is not supported by our new U-Pb zircon data. However, we suggest that the tectonic setting may have migrated in time with deposition of the pre-Middle Jurassic TPG on the peninsula, to Livingston Island where the maximum age for deposition of the MBF is Bajocian (about 170 Ma).</t>
  </si>
  <si>
    <t>Univ Chile, Dept Geol, Santiago, Chile; Ruhr Univ Bochum, Inst Geol Mineral &amp; Geophys, D-44780 Bochum, Germany; Australian Natl Univ, Res Sch Earth Sci, Canberra, ACT 0200, Australia</t>
  </si>
  <si>
    <t>Universidad de Chile; Ruhr University Bochum; Australian National University</t>
  </si>
  <si>
    <t>Hervé, F (corresponding author), Univ Chile, Dept Geol, Casilla 13518,Correo 21, Santiago, Chile.</t>
  </si>
  <si>
    <t>fherve@cec.uchile.cl</t>
  </si>
  <si>
    <t>Faundez, Victor/HPE-0285-2023; Herve, Francisco/HDO-6628-2022; Fanning, Christopher Mark/I-6449-2016</t>
  </si>
  <si>
    <t>Fanning, Christopher Mark/0000-0003-3331-3145</t>
  </si>
  <si>
    <t>10.1017/S0954102006000277</t>
  </si>
  <si>
    <t>WOS:000237899000011</t>
  </si>
  <si>
    <t>Quilty, PG</t>
  </si>
  <si>
    <t>Landform evolution in the Marine Plain region, Vestfold Hills, East Antarctica</t>
  </si>
  <si>
    <t>Antarctica; geomorphology; glaciotectonics; landforms; neogene; palaeogeography</t>
  </si>
  <si>
    <t>PLIOCENE SORSDAL FORMATION; ICE-SHEET; MAFIC DYKES; SEDIMENTS; STRATIGRAPHY; COASTLINE; HISTORY; CLIMATE</t>
  </si>
  <si>
    <t>Landforms of Marine Plain in the Vestfold Hills contrast with those of most in the Vestfold Hills. They include consistent land surfaces at 40+ in and 25 in, characteristics controlled by orientation of rock features, and imprints of phases of glaciation, deglaciation and marine and freshwater inundation. The 40+ in surface is widespread in the Vestfold Hills and has been noted previously. The 25 in level was an earlier coastline, is more localized and marked by water rounded boulders; it serves to differentiate clearly between two terrains of different relief and erratic distribution. The Pliocene sedimentary rocks below the 25 in level have been dislocated, probably during an interval of glaciotectonism caused by northward movement of sediments under an ice load due to northern extension of the Sorsdal Glacier or expansion of the East Antarctic Ice Sheet some time after the mid-Pliocene. Soil development is active. These features are accompanied by the normal aspects of a glaciated landscape such as glacial striations, sand wedges, erratics, and patterned ground. Wind has been important in transporting sand and developing honeycomb weathering on exposed rock faces.</t>
  </si>
  <si>
    <t>Univ Tasmania, Sch Earth Sci, Hobart, Tas 7001, Australia</t>
  </si>
  <si>
    <t>University of Tasmania</t>
  </si>
  <si>
    <t>Quilty, PG (corresponding author), Univ Tasmania, Sch Earth Sci, Private Bag 79, Hobart, Tas 7001, Australia.</t>
  </si>
  <si>
    <t>P.Quilty@utas.edu.au</t>
  </si>
  <si>
    <t>10.1017/S0954102006000289</t>
  </si>
  <si>
    <t>WOS:000237899000012</t>
  </si>
  <si>
    <t>Hunter, MA; Cantrill, DJ; Flowerdew, MJ</t>
  </si>
  <si>
    <t>Hunter, Morag A.; Cantrill, David J.; Flowerdew, Michael J.</t>
  </si>
  <si>
    <t>Latest Jurassic-earliest Cretaceous age for a fossil flora from the Latady Basin, Antarctic Peninsula</t>
  </si>
  <si>
    <t>absolute age; Antarctica; biostratigraphy; palaeobotany</t>
  </si>
  <si>
    <t>GEOCHRONOLOGY; BAY</t>
  </si>
  <si>
    <t>Dating Jurassic terrestrial floras in the Antarctic Peninsula has proved problematic and controversial. Here U-Pb series dating on detrital zircons from a conglomerate interbedded with fossil plant material provide a maximal depositional age of 144 +/- 3 Ma for a presumed Jurassic flora. This is the first continued latest Jurassic-earliest Cretaceous flora from the Latady Basin, and represents some of the youngest sedimentation in this basin. The presence of terrestrial sedimentation at Cantrill Nunataks suggests emergence of the are closer to the Latady Basin margin in the south compared to Larsen Basin in the north, probably as a result of the failure of the southern Weddell Sea to undergo rifting.</t>
  </si>
  <si>
    <t>British Antarctic Survey, NERC, Cambridge CB3 0ET, England; Swedish Museum Nat Hist, Dept Palaeobot, S-10405 Stockholm, Sweden</t>
  </si>
  <si>
    <t>UK Research &amp; Innovation (UKRI); Natural Environment Research Council (NERC); NERC British Antarctic Survey; Swedish Museum of Natural History</t>
  </si>
  <si>
    <t>Hunter, MA (corresponding author), British Antarctic Survey, NERC, Madingley Rd,High Cross, Cambridge CB3 0ET, England.</t>
  </si>
  <si>
    <t>Cantrill, David/R-1415-2019</t>
  </si>
  <si>
    <t>Cantrill, David/0000-0002-1185-4015; Flowerdew, Michael/0000-0002-9710-2593</t>
  </si>
  <si>
    <t>NERC [bas010006] Funding Source: UKRI; Natural Environment Research Council [bas010006] Funding Source: researchfish</t>
  </si>
  <si>
    <t>10.1017/S0954102006000290</t>
  </si>
  <si>
    <t>WOS:000237899000013</t>
  </si>
  <si>
    <t>Jeong, GY</t>
  </si>
  <si>
    <t>Jeong, Gi Young</t>
  </si>
  <si>
    <t>Radiocarbon ages of sorted circles on Kng George Island, South Shetland Islands, West Antarctica</t>
  </si>
  <si>
    <t>deglaciation history; lichen; moss; patterned ground</t>
  </si>
  <si>
    <t>HOLOCENE; PENINSULA</t>
  </si>
  <si>
    <t>Lichen and moss colonize the surface of glacial debris left after deglaciation. Transformation of unsorted debris into a sorted circle causes early plant remains to be preserved in the fine-grained centre encircled by a coarse, clastic border. Systematic radiocarbon dating of plant remains from the sorted stone circles on King George Island, South Shetland Islands, West Antarctica, yielded ages between 290-4710 C-14 yrS BP. The oldest age obtained from a large stone circle approximated the regional deglaciation age recorded in marine and lacustrine sediment cores. Most of the ages, however, underestimate the time of deglaciation due to the continual addition of younger plant remains, changes in soil motion, and the diverse vegetation history. Despite its current limitations as a terrestrial proxy for regional deglaciation, further systematic dating and careful interpretation based on surface processes may improve the usefulness of sorted circles in reconstructing the glacial and periglacial history of polar terrestrial environments.</t>
  </si>
  <si>
    <t>Andong Natl Univ, Dept Earth &amp; Environm Sci, Andong 760749, South Korea</t>
  </si>
  <si>
    <t>Andong National University</t>
  </si>
  <si>
    <t>Jeong, GY (corresponding author), Andong Natl Univ, Dept Earth &amp; Environm Sci, Andong 760749, South Korea.</t>
  </si>
  <si>
    <t>giyoung.jeong@rhul.ac.kr</t>
  </si>
  <si>
    <t>10.1017/S0954102006000307</t>
  </si>
  <si>
    <t>WOS:000237899000014</t>
  </si>
  <si>
    <t>Kaczmarska, M; Isaksson, E; Karlöf, L; Brandt, O; Winther, JG; Van de Wal, RSW; Van den Broeke, M; Johnsen, SJ</t>
  </si>
  <si>
    <t>Kaczmarska, Marzena; Isaksson, Elisabeth; Karlof, Lars; Brandt, Ola; Winther, Jan-Gunnar; Van De Wal, Roderik S. W.; Van Den Broeke, Michiel; Johnsen, Sigfus J.</t>
  </si>
  <si>
    <t>Ice core melt features in relation to Antarctic coastal climate</t>
  </si>
  <si>
    <t>climate proxies; ice layers; light transmittance; melting; stratigraphy</t>
  </si>
  <si>
    <t>DRONNING-MAUD-LAND; ACCUMULATION; SURFACE; VARIABILITY; SNOW</t>
  </si>
  <si>
    <t>Measurement of light intensity transmission was carried out on an ice core S 100 from coastal Dronning Maud Land (DML). Ice lenses were observed in digital pictures of the core and recorded as peaks in the light transmittance record. The frequency of ice layer occurrence was compared with climate proxy data (e.g. oxygen isotopes), annual accumulation rate derived from the same ice core, and available meteorological data from coastal stations in DML. The mean annual frequency of melting events remains constant for the last similar to 150 years. However, fewer melting features are visible at depths corresponding to approximately 1890-1930 AD and the number of ice lenses increases again after 1930 AD. Most years during this period have negative summer temperature anomalies and positive annual accumulation anomalies. The increase in melting frequency around similar to 1930 AD corresponds to the beginning of a decreasing trend in accumulation and an increasing trend in oxygen isotope record. On annual time scales, a relatively good match exists between ice layer frequencies and mean summer temperatures recorded at nearby meteorological stations (Novolazarevskaya, Sanae, Syowa and Halley) only for some years. There is a poor agreement between melt feature frequencies and oxygen isotope records on longer time scales. Melt layer frequency proved difficult to explain with standard climate data and ice core derived proxies. These results suggest a local character for the melt events and a strong influence of surface topography.</t>
  </si>
  <si>
    <t>Scott Polar Res Inst, SCAR, Cambridge CB2 1ER, England; Norwegian Polar Res Inst, Polar Environm Ctr, N-9296 Tromso, Norway; Swix Sport AS, Res &amp; Dev, N-2626 Lillehammer, Norway; Univ Utrecht, Inst Marine &amp; Atmospher Res, NL-3584 CC Utrecht, Netherlands; Univ Copenhagen, Dept Geophys, DK-2100 Copenhagen O, Denmark</t>
  </si>
  <si>
    <t>University of Cambridge; Norwegian Polar Institute; Utrecht University; University of Copenhagen</t>
  </si>
  <si>
    <t>Kaczmarska, M (corresponding author), Scott Polar Res Inst, SCAR, Lensfield Rd, Cambridge CB2 1ER, England.</t>
  </si>
  <si>
    <t>mik24@cam.ac.uk</t>
  </si>
  <si>
    <t>van de wal, roderik/D-1705-2011; Van den Broeke, Michiel R./F-7867-2011</t>
  </si>
  <si>
    <t>van de wal, roderik/0000-0003-2543-3892; Van den Broeke, Michiel R./0000-0003-4662-7565</t>
  </si>
  <si>
    <t>10.1017/S0954102006000319</t>
  </si>
  <si>
    <t>WOS:000237899000015</t>
  </si>
  <si>
    <t>Birnbaum, G; Brauner, R; Ries, H</t>
  </si>
  <si>
    <t>Birnbaum, Gerit; Brauner, Ralf; Ries, Hinnerk</t>
  </si>
  <si>
    <t>Synoptic situations causing high precipitation rates on the Antarctic plateau: observations from Kohnen Station, Dronning Maud Land</t>
  </si>
  <si>
    <t>accumulation; Antarctica; EPICA; low pressure systems</t>
  </si>
  <si>
    <t>ICE; ACCUMULATION</t>
  </si>
  <si>
    <t>Kohnen Station (75 degrees S, 0 degrees E, 2892 m) is one of the two drilling sites of the European Project for Ice Coring in Antarctica. Snow falls at Kohnen only a few times a year with comparatively high precipitation rates of 1 mm to over 5 mm water equivalent per event. These events contribute considerably to the total annual accumulation of which the long-term mean value is 62 mm water equivalent per year. For ice core interpretation, it is important to understand synoptic processes leading to such high precipitation rates. Our investigation is based on visually observed periods of heavy snowfall at Kohnen during summer campaigns since 2001/2002. The corresponding synoptic situations can be grouped into three categories. Category I is where occluding fronts of eastward-moving low pressure systems reach the plateau, a fairly frequent occurrence. Category II is where lows or secondary lows formed east of the Greenwich Meridian move to the west (retrograde movement), and frontal clouds influence the plateau. In Category III, large-scale lifting processes (due to an upper air low west of Kohnen Station) lead to cloud formation over the plateau of Dronning Maud Land.</t>
  </si>
  <si>
    <t>Alfred Wegener Inst Polar &amp; Marine Res, D-27515 Bremerhaven, Germany; Deutscher Wetterdienst, D-20359 Hamburg, Germany</t>
  </si>
  <si>
    <t>Helmholtz Association; Alfred Wegener Institute, Helmholtz Centre for Polar &amp; Marine Research; Deutscher Wetterdienst</t>
  </si>
  <si>
    <t>Birnbaum, G (corresponding author), Alfred Wegener Inst Polar &amp; Marine Res, POB 120161, D-27515 Bremerhaven, Germany.</t>
  </si>
  <si>
    <t>gbirnbaum@awi-bremerhaven.de</t>
  </si>
  <si>
    <t>Birnbaum, Gerit/D-4350-2014</t>
  </si>
  <si>
    <t>Birnbaum, Gerit/0000-0002-0252-6781</t>
  </si>
  <si>
    <t>10.1017/S0954102006000320</t>
  </si>
  <si>
    <t>WOS:000237899000016</t>
  </si>
  <si>
    <t>Purdy, KJ; Nedwell, DB; Embley, TM</t>
  </si>
  <si>
    <t>Analysis of the sulfate-reducing bacterial and methanogenic archaeal populations in contrasting antarctic sediments (vol 69, pg 3181, 2003)</t>
  </si>
  <si>
    <t>Univ Essex, Dept Biol Sci, Colchester CO4 3SQ, Essex, England; Nat Hist Museum, Dept Zool, Mol Biol Unit, London SW7 5BD, England</t>
  </si>
  <si>
    <t>University of Essex; Natural History Museum London</t>
  </si>
  <si>
    <t>Purdy, KJ (corresponding author), Univ Essex, Dept Biol Sci, Colchester CO4 3SQ, Essex, England.</t>
  </si>
  <si>
    <t>Purdy, Kevin/A-1900-2009</t>
  </si>
  <si>
    <t>Purdy, Kevin/0000-0002-2997-9342; Embley, Thomas Martin/0000-0002-1484-340X</t>
  </si>
  <si>
    <t>10.1128/AEM.00943-06</t>
  </si>
  <si>
    <t>057UG</t>
  </si>
  <si>
    <t>WOS:000238620100096</t>
  </si>
  <si>
    <t>Wängberg, SÅ; Andreasson, KIM; Garde, K; Gustavson, K; Henriksen, P; Reinthaler, T</t>
  </si>
  <si>
    <t>Inhibition of primary production by UV-B radiation in an arctic bay -: model calculations</t>
  </si>
  <si>
    <t>AQUATIC SCIENCES</t>
  </si>
  <si>
    <t>primary production; Svalbard; arctic; UV-B; PAR; model</t>
  </si>
  <si>
    <t>ULTRAVIOLET-RADIATION; MARINE-PHYTOPLANKTON; OZONE DEPLETION; SOUTHERN-OCEAN; ANTARCTIC PHYTOPLANKTON; PHYSICAL-ENVIRONMENT; PHOTOSYNTHESIS; IMPACT; PHOTOINHIBITION; KONGSFJORDEN</t>
  </si>
  <si>
    <t>Inhibition of primary production by UV-B radiation (UVBR) in Kings Bay, western Spitsbergen, was modelled using measured physical and biological data. The underwater radiation regime was modelled using continuous measurements of incoming radiation and repeated measurements of underwater attenuation of Photosynthetic Active Radiation (PAR) and UVBR. By using attenuation measurements, P/I curves and UVBR sensitivity measurements, we modelled the reduction of primary production in the photic zone for 14 days. We also calculated how the estimate was dependent on the different factors. The model showed that, on average, 2.9 % of the primary production was inhibited by UVBR, assuming that the inhibition is a function of the UVBR irradiance. If the ozone layer were reduced to 200 DU, the inhibition would increase to 4.4% using unweighted UVBR values. The model indicated that at ambient ozone levels the inhibition was practically independent of the chosen weighting function, but the choice was critical when predicting the effects of a depleted ozone layer. At 200 DU, using DNA weighting, the inhibition was 14.4% but using erythema weighting it was 6.5%. Different P/I curves did not change the estimate while changes in water attenuation gave results in the range 1.6-5.2%. The most uncertain factor in the model was the estimate of the sensitivity of primary production. Using four different in situ incubations, the estimated integrated reduction in primary production caused by UVBR ranged from 0.05-4.1%.</t>
  </si>
  <si>
    <t>Univ Gothenburg, Dept Plant &amp; Environm Sci, SE-40530 Gothenburg, Sweden; DHI Water &amp; Environm, DK-2970 Horsholm, Denmark; NERI, DK-4000 Roskilde, Denmark; Royal Netherlands Inst Sea Res, Dept Biol Oceanog, NL-1790 AB Den Burg, Netherlands</t>
  </si>
  <si>
    <t>University of Gothenburg; Danish Hydraulic Institute (DHI); Aarhus University; Utrecht University; Royal Netherlands Institute for Sea Research (NIOZ)</t>
  </si>
  <si>
    <t>Wängberg, SÅ (corresponding author), Univ Gothenburg, Dept Plant &amp; Environm Sci, POB 461, SE-40530 Gothenburg, Sweden.</t>
  </si>
  <si>
    <t>stenake.wangberg@botany.gu.se</t>
  </si>
  <si>
    <t>Gustavson, Kim/J-7851-2013; Reinthaler, Thomas/E-6563-2013; Henriksen, Peter/I-8031-2013</t>
  </si>
  <si>
    <t>Reinthaler, Thomas/0000-0003-3881-3122; Gustavson, Kim/0000-0001-8242-0276; Henriksen, Peter/0000-0002-6413-6850</t>
  </si>
  <si>
    <t>BIRKHAUSER VERLAG AG</t>
  </si>
  <si>
    <t>BASEL</t>
  </si>
  <si>
    <t>VIADUKSTRASSE 40-44, PO BOX 133, CH-4010 BASEL, SWITZERLAND</t>
  </si>
  <si>
    <t>1015-1621</t>
  </si>
  <si>
    <t>AQUAT SCI</t>
  </si>
  <si>
    <t>Aquat. Sci.</t>
  </si>
  <si>
    <t>10.1007/s00027-006-0819-4</t>
  </si>
  <si>
    <t>Environmental Sciences; Limnology; Marine &amp; Freshwater Biology</t>
  </si>
  <si>
    <t>055ME</t>
  </si>
  <si>
    <t>WOS:000238454000001</t>
  </si>
  <si>
    <t>Kim, J; Cho, HK; Jung, YJ; Lee, YG; Lee, BY</t>
  </si>
  <si>
    <t>Kim, Jhoon; Cho, Hi Ku; Jung, Yeon Jin; Lee, Yun Gon; Lee, Bang Yong</t>
  </si>
  <si>
    <t>Surface Energy Balance at Sejong Station, King George Island, Antarctica</t>
  </si>
  <si>
    <t>ATMOSPHERE-KOREA</t>
  </si>
  <si>
    <t>Korean</t>
  </si>
  <si>
    <t>radiation balance; longwave radiation; shortwave radiation; Antarctica</t>
  </si>
  <si>
    <t>This study examines seasonal variability of the surface energy balance at the King Sejong Station, Antarctica, using measurements and estimates of the components related to the balance for the period of 1996 to 2004. Annual average of downward shortwave radiation at the surface is 81 Wm(-2) which is 37% of the extraterrestrial value, with the monthly maximum of 188 Wm(-2) in December and the minimum of 8 Wm(-2) in June. These values are relatively smaller than those at other stations in Antarctica, which can be attributed to higher cloudy weather conditions in Antarctic front zone. Surface albedo varies between similar to 0.3 in the austral summer season and similar to 0.6 in the winter season. As a result, the net shortwave radiation ranges from 117 Wm(-2) down to 3 Wm(-2) with annual averages of 43 Wm(-2). Annual average of the downward longwave radiation shows 278 Wm(-2), ranging from 263 Wm(-2) in August to 298 Wm(-2) in January. The downward longwave radiation is verified to be dependent strongly on the air temperature and specific humidity, accounting for 74% and 79% of the total variance in the longwave radiation, respectively. The net longwave radiation varies between 25 Wm(-2) and 40 Wm(-2) with the annual averages of 30 Wm(-2). Accordingly, the annual average energy balance is dominated by radiative warming of a positive net all-wave radiation from September to next March and radiative cooling of a negative net all-wave radiation from April to August. The net all-wave radiative energy gain and loss at the surface is mostly balanced by turbulent flux of sensible and latent heat. The soil heat flux is of negligible importance in the surface energy balance.</t>
  </si>
  <si>
    <t>[Kim, Jhoon; Cho, Hi Ku; Jung, Yeon Jin; Lee, Yun Gon] Yonsei Univ, Dept Atmospher Sci, Global Environm Lab, 134 Sinchon Dong, Seoul 120749, South Korea; [Lee, Bang Yong] KORDI, Korea Polar Res Inst, Seoul, South Korea</t>
  </si>
  <si>
    <t>Yonsei University; Korea Institute of Ocean Science &amp; Technology (KIOST); Korea Polar Research Institute (KOPRI)</t>
  </si>
  <si>
    <t>Kim, J (corresponding author), Yonsei Univ, Dept Atmospher Sci, Global Environm Lab, 134 Sinchon Dong, Seoul 120749, South Korea.</t>
  </si>
  <si>
    <t>jkim2@yonsei.ac.kr</t>
  </si>
  <si>
    <t>Kim, Jhoon/F-6635-2013</t>
  </si>
  <si>
    <t>Kim, Jhoon/0000-0002-1508-9218</t>
  </si>
  <si>
    <t>KOREAN METEOROLOGICAL SOC</t>
  </si>
  <si>
    <t>SEOUL</t>
  </si>
  <si>
    <t>SHINKIL-DONG 508, SIWON BLDG 704, YONGDUNGPO-GU, SEOUL, 150-050, SOUTH KOREA</t>
  </si>
  <si>
    <t>1598-3560</t>
  </si>
  <si>
    <t>2288-3266</t>
  </si>
  <si>
    <t>ATMOS-KOREA</t>
  </si>
  <si>
    <t>Atmos.-Korea</t>
  </si>
  <si>
    <t>V9U1H</t>
  </si>
  <si>
    <t>WOS:000422526000005</t>
  </si>
  <si>
    <t>Parish, TR; Walker, R</t>
  </si>
  <si>
    <t>Parish, Thomas R.; Walker, Richard</t>
  </si>
  <si>
    <t>A re-examination of the winds of Adelie Land, Antarctica</t>
  </si>
  <si>
    <t>AUSTRALIAN METEOROLOGICAL MAGAZINE</t>
  </si>
  <si>
    <t>MESOSCALE-PREDICTION-SYSTEM; POLAR MM5 SIMULATIONS; ATMOSPHERIC CIRCULATION; GREENLAND; FIELD</t>
  </si>
  <si>
    <t>Records of the surface wind at the coast of Adelie Land, Antarctica between 140 degrees E and 144 degrees E show an annual mean wind speed of approximately 20 m s(-1). The intensity of this wind regime remains unsurpassed for stations at sea level. The low-level winds are thought to be primarily katabatic, having their origin over the continental interior. Surface winds display an extremely high directional constancy value of near 1.0, implying that the air flow is essentially unidirectional. Wind speeds show a seasonal bias. The intensity of the mean winds during the winter period from June through August is 60 per cent stronger than those observed during the short summertime period of December through February. Confluent channelling of the drainage flows off the ice sheets upwind from Adelie Land has been proposed as the reason for the intense wind conditions at this section of coastal Antarctica. Streamline convergence in the interior of the continent ensures an ample supply of negatively buoyant air that enables the coastal wind regime to be so persistent. Analyses of the original hourly data series collected by Mawson's party at Cape Denison and subsequent records from automatic weather stations along Adelie Land have been completed. Gridded model output from real-time mesoscale simulations of the Antarctic atmosphere and high southern latitudes using a modified version of the Fifth-generation Pennsylvania State University/National Center for Atmospheric Research Mesoscale Model (Polar MM5) from the one-year period November 2001 to October 2002 have also been analysed to investigate the mean structure and extent of the strong wind zone. Detailed simulations with Polar MM5 have been conducted during April 2002 to investigate the modulation of the Adelie Land winds due to cyclones to the north of the coastline. Some thoughts as to the uniqueness of the Adelie Land winds are offered.</t>
  </si>
  <si>
    <t>Univ Wyoming, Dept Atmospher Sci, Laramie, WY 82071 USA</t>
  </si>
  <si>
    <t>University of Wyoming</t>
  </si>
  <si>
    <t>AUSTRALIAN GOVT PUBL SERV</t>
  </si>
  <si>
    <t>CANBERRA</t>
  </si>
  <si>
    <t>PO BOX 84, CANBERRA, 2601, AUSTRALIA</t>
  </si>
  <si>
    <t>0004-9743</t>
  </si>
  <si>
    <t>AUST METEOROL MAG</t>
  </si>
  <si>
    <t>Aust. Meteorol. Mag.</t>
  </si>
  <si>
    <t>088DJ</t>
  </si>
  <si>
    <t>WOS:000240791400002</t>
  </si>
  <si>
    <t>Trillmich, F; Weissing, FJ</t>
  </si>
  <si>
    <t>Lactation patterns of pinnipeds are not explained by optimization of maternal energy delivery rates</t>
  </si>
  <si>
    <t>BEHAVIORAL ECOLOGY AND SOCIOBIOLOGY</t>
  </si>
  <si>
    <t>lactation strategy; life history; phylogenctic constraint; income breeding; capital breeding; allometric relationships; reproductive value; optimality approach</t>
  </si>
  <si>
    <t>ANTARCTIC FUR SEALS; AMSTERDAM ISLAND; ARCTOCEPHALUS-GALAPAGOENSIS; CYSTOPHORA-CRISTATA; PHOCA-GROENLANDICA; FORAGING EFFORT; BODY CONDITION; HOODED SEAL; HARP SEAL; FEMALE</t>
  </si>
  <si>
    <t>Within pinnipeds, phocids and otariids show differing maternal care. strategies. Phocids rear young out of body stores in a yearly cycle with a single stay ashore when the mother fasts while lactating, whereas otariids provision their young by repeated foraging trips to sea alternating with brief stays ashore where they suckle their young. In a previous optimality model, these differences have been interpreted as adaptations based on differing energy requirements of large (phocid) and smaller (otariid) species, and the time budget of the large elephant and the much smaller Antarctic fur seal were correctly predicted. Our refined model-extended to pinniped species of all sizes-predicts lactation strategies to shift from attendance cycles to 1-year cycles with increasing body mass and provides an explanation for the finding that phocid pups are weaned at lower relative mass than otariid pups. However, other predictions do not correspond to empirical findings. In particular, the model does not explain the behavior of large otariids and small phocids. Thus, maternal metabolic requirements alone appear insufficient to explain observed lactation patterns. In the light of our results, we discuss more generally the scope and limitations of optimality models when applied in a comparative framework to a group of related species.</t>
  </si>
  <si>
    <t>Univ Bielefeld, D-33501 Bielefeld, Germany; Univ Groningen, NL-9751 NN Haren, Netherlands</t>
  </si>
  <si>
    <t>University of Bielefeld; University of Groningen</t>
  </si>
  <si>
    <t>Trillmich, F (corresponding author), Univ Bielefeld, POB 100131, D-33501 Bielefeld, Germany.</t>
  </si>
  <si>
    <t>fritz.trillmich@uni-bielefeld.de; f.j.weissing@rug.nl</t>
  </si>
  <si>
    <t>Weissing, Franz J./0000-0003-3281-663X</t>
  </si>
  <si>
    <t>0340-5443</t>
  </si>
  <si>
    <t>BEHAV ECOL SOCIOBIOL</t>
  </si>
  <si>
    <t>Behav. Ecol. Sociobiol.</t>
  </si>
  <si>
    <t>10.1007/s00265-005-0150-4</t>
  </si>
  <si>
    <t>Behavioral Sciences; Ecology; Zoology</t>
  </si>
  <si>
    <t>Behavioral Sciences; Environmental Sciences &amp; Ecology; Zoology</t>
  </si>
  <si>
    <t>056RY</t>
  </si>
  <si>
    <t>WOS:000238544000004</t>
  </si>
  <si>
    <t>Rodríguez, C; Torres, R; Drummond, H</t>
  </si>
  <si>
    <t>Rodriguez, Cristina; Torres, Roxana; Drummond, Hugh</t>
  </si>
  <si>
    <t>Eradicating introduced mammals from a forested tropical island</t>
  </si>
  <si>
    <t>exotic mammals; sooty tern; brodifacoum; 1080</t>
  </si>
  <si>
    <t>ANTARCTIC MARION-ISLAND; SOUTHERN INDIAN-OCEAN; CATS FELIS-CATUS; FERAL CATS; NEW-ZEALAND; SODIUM MONOFLUOROACETATE; CONSERVATION; DIET; FJORDLAND</t>
  </si>
  <si>
    <t>Methodologies developed in New Zealand for eradication of exotic mammals from temperate oceanic islands were adapted for use on a topographically complex, 194-ha, densely forested, tropical island off the Pacific coast of Mexico. Isla Isabel is a National Park and a nesting refuge for nine species of marine birds, but the island's extraordinarily dense population of cats (113/k(2)) was annually killing 23-33% of nesting sooty terns. We provide quantitative descriptions of the implementation and outcome of the methodologies over a period of three years, culminating in successful eradication of cats, but not rats. We also provide quantification of the effects of cat eradication on sooty tern mortality over a period of 11 years. (c) 2005 Elsevier Ltd. All rights reserved.</t>
  </si>
  <si>
    <t>Univ Nacl Autonoma Mexico, Inst Ecol, Dept Ecol &amp; Evolut, Mexico City 04510, DF, Mexico</t>
  </si>
  <si>
    <t>Universidad Nacional Autonoma de Mexico</t>
  </si>
  <si>
    <t>Rodríguez, C (corresponding author), Univ Nacl Autonoma Mexico, Inst Ecol, Dept Ecol &amp; Evolut, Ciudad Univ S-N,AP 70-275, Mexico City 04510, DF, Mexico.</t>
  </si>
  <si>
    <t>cjuarez@miranda.ecologia.unam.mx</t>
  </si>
  <si>
    <t>1873-2917</t>
  </si>
  <si>
    <t>10.1016/j.biocon.2005.12.005</t>
  </si>
  <si>
    <t>052YC</t>
  </si>
  <si>
    <t>WOS:000238269000009</t>
  </si>
  <si>
    <t>Lewis, PN; Bergstrom, DM; Whinam, J</t>
  </si>
  <si>
    <t>Lewis, Patrick N.; Bergstrom, Dana M.; Whinam, Jennie</t>
  </si>
  <si>
    <t>Barging in: A temperate marine community travels to the subantarctic</t>
  </si>
  <si>
    <t>BIOLOGICAL INVASIONS</t>
  </si>
  <si>
    <t>fouling; invasive; Macquarie Island; marine; non-indigenous; quarantine; subantarctic</t>
  </si>
  <si>
    <t>DESICCATION; INVASIONS; LIFE</t>
  </si>
  <si>
    <t>A diverse fouling community discovered encrusting a barge intended for deployment at subantarctic Macquarie Island is described and its role as a transport vector for non-indigenous marine organisms is discussed. The barge proved to be a potential vector capable of transporting entire epi-bethic communities, 20 species in total, from a temperate estuarine system (Derwent River, Tasmania, Australia) into the subantarctic. For one invasive amphipod species Monocorophium acherusicum, over 136000 individuals including ovigerous females were calculated to be associated with the barge fouling community. Although distinct differences exist between the thermal ranges of Macquarie Island and the Bruny bioregion of Tasmania, a hazard assessment based on the Gower similarity coefficient suggested sufficient similarity between the two environments to allow for survival of transported organisms for eight months of the year. Several invasive species are able to survive the thermal conditions of the subantarctic irrespective of the time of year. This study identifies the need for effective quarantine measures aimed at identifying and managing marine biosecurity hazards in association with human activities in high latitude regions.</t>
  </si>
  <si>
    <t>Univ Tasmania, Inst Antarctic &amp; So Ocean Studies, Hobart, Tas 7001, Australia; Australian Antarctic Div, Kingston, Tas 7050, Australia; Nat Conservat Branch, Dept Primary Ind Water &amp; Environm, Hobart, Tas 7001, Australia</t>
  </si>
  <si>
    <t>University of Tasmania; Australian Antarctic Division</t>
  </si>
  <si>
    <t>Lewis, PN (corresponding author), Univ Tasmania, Inst Antarctic &amp; So Ocean Studies, Private Bag 77, Hobart, Tas 7001, Australia.</t>
  </si>
  <si>
    <t>plewis@utas.edu.au</t>
  </si>
  <si>
    <t>Bergstrom, Dana/AAC-2837-2022</t>
  </si>
  <si>
    <t>Bergstrom, Dana/0000-0001-8484-8954</t>
  </si>
  <si>
    <t>DORDRECHT</t>
  </si>
  <si>
    <t>VAN GODEWIJCKSTRAAT 30, 3311 GZ DORDRECHT, NETHERLANDS</t>
  </si>
  <si>
    <t>1387-3547</t>
  </si>
  <si>
    <t>1573-1464</t>
  </si>
  <si>
    <t>BIOL INVASIONS</t>
  </si>
  <si>
    <t>Biol. Invasions</t>
  </si>
  <si>
    <t>10.1007/s10530-005-3837-6</t>
  </si>
  <si>
    <t>056NO</t>
  </si>
  <si>
    <t>WOS:000238531200021</t>
  </si>
  <si>
    <t>Borchers, DL; Laake, JL; Southwell, C; Paxton, CGM</t>
  </si>
  <si>
    <t>Borchers, D. L.; Laake, J. L.; Southwell, C.; Paxton, C. G. M.</t>
  </si>
  <si>
    <t>Accommodating unmodeled heterogeneity in double-observer distance sampling surveys</t>
  </si>
  <si>
    <t>BIOMETRICS</t>
  </si>
  <si>
    <t>distance sampling; double observer; heterogeneity; mark-recapture; point independence</t>
  </si>
  <si>
    <t>POPULATION-SIZE; RECAPTURE</t>
  </si>
  <si>
    <t>Mark-recapture models applied to double-observer distance sampling data neglect the information on relative detectability of objects contained in the distribution of observed distances. A difference between the observed distribution and that predicted by the mark-recapture model is symptomatic of a failure of the assumption of zero correlation between detection probabilities implicit in the mark-recapture model. We develop a mark-recapture-based model that uses the observed distribution to relax this assumption to zero correlation at only one distance. We demonstrate its usefulness in coping with unmodeled heterogeneity using data from an aerial survey of crabeater seals in the Antarctic.</t>
  </si>
  <si>
    <t>Univ St Andrews, Res Unit Wildlife Populat Assessment, St Andrews KY16 9LZ, Fife, Scotland; Natl Marine Mammal Lab, Alaska Fisheries Sci Ctr, Natl Marine Fisheries Serv, Seattle, WA 98115 USA; Australian Antarctic Div, Kingston, Tas 7050, Australia</t>
  </si>
  <si>
    <t>University of St Andrews; National Oceanic Atmospheric Admin (NOAA) - USA; Australian Antarctic Division</t>
  </si>
  <si>
    <t>Borchers, DL (corresponding author), Univ St Andrews, Res Unit Wildlife Populat Assessment, Observ,Buchanan Gardens, St Andrews KY16 9LZ, Fife, Scotland.</t>
  </si>
  <si>
    <t>dlb@mcs.st-and.ac.uk</t>
  </si>
  <si>
    <t>, David/X-5730-2019</t>
  </si>
  <si>
    <t>Paxton, Charles/0000-0002-9350-3197; Borchers, David/0000-0002-3944-0754</t>
  </si>
  <si>
    <t>0006-341X</t>
  </si>
  <si>
    <t>1541-0420</t>
  </si>
  <si>
    <t>Biometrics</t>
  </si>
  <si>
    <t>10.1111/j.1541-0420.2005.00493.x</t>
  </si>
  <si>
    <t>Biology; Mathematical &amp; Computational Biology; Statistics &amp; Probability</t>
  </si>
  <si>
    <t>Life Sciences &amp; Biomedicine - Other Topics; Mathematical &amp; Computational Biology; Mathematics</t>
  </si>
  <si>
    <t>054NP</t>
  </si>
  <si>
    <t>WOS:000238384500006</t>
  </si>
  <si>
    <t>Stevenson, JA; McGarvie, DW; Smellie, JL; Gilbert, JS</t>
  </si>
  <si>
    <t>Stevenson, John A.; McGarvie, David W.; Smellie, John L.; Gilbert, Jennie S.</t>
  </si>
  <si>
    <t>Subglacial and ice-contact volcanism at the Oraefajokull stratovolcano, Iceland</t>
  </si>
  <si>
    <t>BULLETIN OF VOLCANOLOGY</t>
  </si>
  <si>
    <t>subglacial; silicic; ice-contact; explosive; phreatomagmatic; Oraefajokull; glaciovolcanism; stratovolcano</t>
  </si>
  <si>
    <t>PETROGENETIC EVOLUTION; SOUTHEAST ICELAND; RHYOLITE ERUPTION; MAGMA; TORFAJOKULL; FEATURES; VATNAJOKULL; BLAHNUKUR; PRODUCTS; HISTORY</t>
  </si>
  <si>
    <t>Eruptions of Oraefajokull have produced mafic and silicic magmas, and have taken place in both glacial and interglacial periods. The geology of the volcano records the differing response of magmas of contrasting composition to interaction with ice of variable thickness and gives insight into the development of a long-lived ice-covered stratovolcano. Vatnafjall, a ridge on the southeast flank of Oraefajokull, is the first area of the volcano to have been mapped in detail and the geological map is presented here alongside descriptions of each erupted unit. The oldest units comprise pillow lavas, hyaloclastite and jointed lava flows that were formed during subglacial basaltic eruptions involving abundant meltwater. The products of a subsequent explosive, initially phreatomagmatic, subglacial rhyolite eruption were confined by ice to form a tephra pile over 200 m thick that was intruded by dense rhyolite magma towards the end of the eruption. Confinement by ice caused a later trachydacite lava flow to form buttresses and a steep pillar. Whilst some of the meltwater produced infiltrated the lava (to generate red and black glassy breccias and cause localised steam explosions), it is likely that much of it drained down the steep topography. The most recently- erupted units are subaerial basaltic lava flows, the oldest of which were erupted during an interglacial period and have subsequently been partially eroded and scoured by advancing ice. Ice has been important in shaping the edifice by confining eruptive products to form constructional features and by later eroding parts of them to form deep valleys. Reconstructions of volcano-ice interaction allowed the local thickness of the glacier at the time of each eruption to be estimated, and demonstrates that the upper surface of the ice has varied in elevation by over similar to 700 m.</t>
  </si>
  <si>
    <t>Open Univ, Dept Earth Sci, Milton Keynes MK7 6AA, Bucks, England; Univ Lancaster, Dept Environm Sci, Lancaster LA1 4YQ, England; British Antarctic Survey, Cambridge CB3 0ET, England</t>
  </si>
  <si>
    <t>Open University - UK; Lancaster University; UK Research &amp; Innovation (UKRI); Natural Environment Research Council (NERC); NERC British Antarctic Survey</t>
  </si>
  <si>
    <t>Stevenson, JA (corresponding author), Open Univ, Dept Earth Sci, Milton Keynes MK7 6AA, Bucks, England.</t>
  </si>
  <si>
    <t>johnalexanderstevenson@yahoo.co.uk</t>
  </si>
  <si>
    <t>Gilbert, Jennie/A-3243-2009; McGarvie, Dave/HQZ-8907-2023</t>
  </si>
  <si>
    <t>Gilbert, Jennie/0000-0002-6277-738X; Stevenson, John/0000-0002-2245-1334</t>
  </si>
  <si>
    <t>Natural Environment Research Council [bas010018, bas010002] Funding Source: researchfish; NERC [bas010018, bas010002] Funding Source: UKRI</t>
  </si>
  <si>
    <t>0258-8900</t>
  </si>
  <si>
    <t>B VOLCANOL</t>
  </si>
  <si>
    <t>Bull. Volcanol.</t>
  </si>
  <si>
    <t>10.1007/s00445-005-0047-0</t>
  </si>
  <si>
    <t>051IM</t>
  </si>
  <si>
    <t>WOS:000238154800011</t>
  </si>
  <si>
    <t>Lincoln-Smith, MP; Pitt, KA; Bell, JD; Mapstone, BD</t>
  </si>
  <si>
    <t>Lincoln-Smith, M. P.; Pitt, K. A.; Bell, J. D.; Mapstone, B. D.</t>
  </si>
  <si>
    <t>Using impact assessment methods to determine the effects of a marine reserve on abundances and sizes of valuable tropical invertebrates</t>
  </si>
  <si>
    <t>CANADIAN JOURNAL OF FISHERIES AND AQUATIC SCIENCES</t>
  </si>
  <si>
    <t>ENVIRONMENTAL IMPACTS; FISHERIES MANAGEMENT; REEF FISHES; POPULATIONS; CALIFORNIA; RESOURCES; AUSTRALIA; ECOLOGY; DESIGNS; REFUGIA</t>
  </si>
  <si>
    <t>Procedures for impact assessment, including beyond-BACI (before-after control-impact) and proportional differences (ratios between impact and control treatments) were used to test population replenishment of marine invertebrates at a marine conservation area (MCA) and three fished (control) areas in the Solomon Islands of the southwestern tropical Pacific. Within shallow reef terrace habitat, the MCA caused abundance and size of the topshell Trochus niloticus to increase but did not affect holothurians (sea cucumbers) or the giant clam Tridacna maxima. Abundance of the nonexploited topshell Tectus pyramis was unchanged at the MCA but increased at the controls, possibly because of changes in abundance of T. niloticus. Within deep slope habitat, the MCA caused increased abundance of the sea cucumber Holothuria fuscogilva and prevented possible declines in abundances of Thelanota anax and all holothurians combined but had no effect on abundances of Holothuria atra or Holothuria fuscopunctata. Power analysis comparing the MCA with controls indicated that further, relatively modest increases in abundance or size of some species would have a good chance of being detected statistically. The beyond-BACI procedure holds promise for enabling rigorous evaluation of marine reserves as management tools at different spatial scales; the use of proportional differences is simpler but has limited management value.</t>
  </si>
  <si>
    <t>Ecol Lab Pty Ltd, Brookvale, NSW 2100, Australia; Griffith Univ, Ctr Aquat Proc &amp; Pollut, Gold Coast, Qld 9726, Australia; Griffith Univ, Sch Environm &amp; Appl Sci, Gold Coast, Qld 9726, Australia; Worldfish Ctr, George Town 10670, Malaysia; Univ Tasmania, Antarctic Climat &amp; Ecosyst Cooperat Res Ctr, Hobart, Tas 7001, Australia</t>
  </si>
  <si>
    <t>Griffith University; Griffith University - Gold Coast Campus; Griffith University; Griffith University - Gold Coast Campus; CGIAR; Worldfish; University of Tasmania</t>
  </si>
  <si>
    <t>Lincoln-Smith, MP (corresponding author), Ecol Lab Pty Ltd, Brookvale, NSW 2100, Australia.</t>
  </si>
  <si>
    <t>mls@theecologylab.com.au</t>
  </si>
  <si>
    <t>Pitt, Kylie/N-7421-2014</t>
  </si>
  <si>
    <t>Pitt, Kylie/0000-0002-2292-2052; Bell, Johann/0000-0003-2152-536X</t>
  </si>
  <si>
    <t>CANADIAN SCIENCE PUBLISHING, NRC RESEARCH PRESS</t>
  </si>
  <si>
    <t>65 AURIGA DR, SUITE 203, OTTAWA, ON K2E 7W6, CANADA</t>
  </si>
  <si>
    <t>0706-652X</t>
  </si>
  <si>
    <t>1205-7533</t>
  </si>
  <si>
    <t>CAN J FISH AQUAT SCI</t>
  </si>
  <si>
    <t>Can. J. Fish. Aquat. Sci.</t>
  </si>
  <si>
    <t>10.1139/F06-033</t>
  </si>
  <si>
    <t>Fisheries; Marine &amp; Freshwater Biology</t>
  </si>
  <si>
    <t>053DT</t>
  </si>
  <si>
    <t>WOS:000238285700006</t>
  </si>
  <si>
    <t>Solman, SA; Le Treut, H</t>
  </si>
  <si>
    <t>Climate change in terms of modes of atmospheric variability and circulation regimes over southern South America</t>
  </si>
  <si>
    <t>WEATHER REGIMES; POSITIVE FEEDBACK; HEMISPHERE; OSCILLATIONS</t>
  </si>
  <si>
    <t>The simulated low-frequency variability patterns of the atmospheric circulation, ranging from interannual to interdecadal timescales, are studied in an area encompassing southern South America. The experiment is a transient simulation performed with the IPSL CCM2 coupled global model, in which the greenhouse forcing is continuously increasing. The main modes of low-frequency variability are found to remain stationary throughout the simulation, suggesting they depend more on the internal dynamics of the atmospheric flow than on its external forcing. Inspection of the circulation regimes that represent the more recurrent patterns at interannual and interdecadal timescales showed that climate change manifests itself as a change in regime population, suggesting that the negative phase of the Antarctic Oscillation-like pattern becomes more frequented in a climate change scenario. Changes of regime occurrence are superimposed to a positive trend whose spatial pattern is reminiscent of the structure of the Antarctic Oscillation-mode of variability. Moreover, it resembles the spatial patterns of those regimes that show a significant change in population. The change in regime frequencies of the circulation patterns of low-frequency variability are in opposite phase with respect to the trend, thus, the behaviour of these patterns of variability, superimposed to a changing mean state, modulates the climate change signal. The analysis of the high frequencies, in terms of recurrent patterns representing intraseasonal and synoptic-scale of variability, shows no significant changes in regime characteristics, concerning both spatial and temporal behaviour.</t>
  </si>
  <si>
    <t>Univ Buenos Aires, CONICET, CIMA, RA-1428 Buenos Aires, DF, Argentina; Univ Paris 06, CNRS, LMD, F-75252 Paris, France</t>
  </si>
  <si>
    <t>Consejo Nacional de Investigaciones Cientificas y Tecnicas (CONICET); University of Buenos Aires; Centre National de la Recherche Scientifique (CNRS); Sorbonne Universite; Ecole des Ponts ParisTech</t>
  </si>
  <si>
    <t>Solman, SA (corresponding author), Univ Buenos Aires, CONICET, CIMA, Dto Cs Atmosfera &amp; Los Oceanos,Ciudad Univ,Pabell, RA-1428 Buenos Aires, DF, Argentina.</t>
  </si>
  <si>
    <t>solman@cima.fcen.uba.ar; Herve.Letreut@lmd.jussieu.fr</t>
  </si>
  <si>
    <t>Solman, Silvina/AAR-4347-2021</t>
  </si>
  <si>
    <t>10.1007/s00382-005-0107-3</t>
  </si>
  <si>
    <t>036QK</t>
  </si>
  <si>
    <t>WOS:000237089600011</t>
  </si>
  <si>
    <t>Reeves, RR; Gales, NJ</t>
  </si>
  <si>
    <t>Realities of baiji conservation</t>
  </si>
  <si>
    <t>CONSERVATION BIOLOGY</t>
  </si>
  <si>
    <t>Okapi Wildlife Associates, Hudson, PQ J0P 1H0, Canada; Australian Antarctic Div, Kingston, Tas 7050, Australia</t>
  </si>
  <si>
    <t>Australian Antarctic Division</t>
  </si>
  <si>
    <t>Reeves, RR (corresponding author), Okapi Wildlife Associates, Hudson, PQ J0P 1H0, Canada.</t>
  </si>
  <si>
    <t>rrreeves@total.net</t>
  </si>
  <si>
    <t>0888-8892</t>
  </si>
  <si>
    <t>CONSERV BIOL</t>
  </si>
  <si>
    <t>Conserv. Biol.</t>
  </si>
  <si>
    <t>10.1111/j.1523-1739.2006.00472.x</t>
  </si>
  <si>
    <t>053NZ</t>
  </si>
  <si>
    <t>WOS:000238313200010</t>
  </si>
  <si>
    <t>Flowerdew, MJ; Millar, IL; Vaughan, APM; Horstwood, MSA; Fanning, CM</t>
  </si>
  <si>
    <t>Flowerdew, M. J.; Millar, I. L.; Vaughan, A. P. M.; Horstwood, M. S. A.; Fanning, C. M.</t>
  </si>
  <si>
    <t>The source of granitic gneisses and migmatites in the Antarctic Peninsula: a combined U-PbSHRIMP and laser ablation Hf isotope study of complex zircons</t>
  </si>
  <si>
    <t>CONTRIBUTIONS TO MINERALOGY AND PETROLOGY</t>
  </si>
  <si>
    <t>IONIZATION MASS-SPECTROMETRY; EASTERN PALMER LAND; IN-SITU HAFNIUM; LU-HF; CRUSTAL EVOLUTION; SUPERIOR-PROVINCE; DETRITAL ZIRCONS; ION MICROPROBE; RATIO ANALYSIS; TRACE-ELEMENT</t>
  </si>
  <si>
    <t>Zircons gneisses and migmatites collected from the Antarctic Peninsula have different core-rim hafnium isotope ratio relationships depending on whether evidence for zircon dissolution is present or absent. Two samples contain inherited zircon that is partially dissolved. In these samples, the Hf-176/Hf-177 rations of the inherited zircon and new magmatic zircon rims are, on average, indistinguishable and consistent with in situ melting. In such cases the hafnium isotopic composition of the melt was probably strongly influenced by the dissolved zircon component at the source. Variation in Hf-176/Hf-177 within the magmatic zircon rims from grain to grain suggests that Hf isotopes were only partially homogenized during melt migration; alternatively, zircon growth may have taken place within small volumes of partial melt. Other samples do not preserve textural evidence for zircon dissolution during melt generation; in these samples the Hf-176/Hf-177 values of the inherited zircon and new magmatic zircon rims are different. The zircon rims apparently suggest a source of less evolved hafnium than that contained within the inherited zircon. Whether this relates to a separate juvenile source or, alternatively, is derived from minerals other than zircon at the source, cannot be resolved. Inherited zircon, irrespective of age, has been strongly influenced by the reworking of a juvenile Late Mesoproterozoic source, suggesting that such crust underlies the Antarctic Peninsula. Our results therefore suggest that Hf isotope analyses provide great potential for future studies investigating the source and processes involved in the generation of crustal melts.</t>
  </si>
  <si>
    <t>British Antarctic Survey, Cambridge CB3 0ET, England; NERC, Isotope Geosci Lab, Kingsley Dunham Ctr, Keyworth NG12 5GG, Notts, England; Australian Natl Univ, PRISE, Sch Earth Sci, Canberra, ACT 0201, Australia</t>
  </si>
  <si>
    <t>UK Research &amp; Innovation (UKRI); Natural Environment Research Council (NERC); NERC British Antarctic Survey; UK Research &amp; Innovation (UKRI); Natural Environment Research Council (NERC); NERC British Geological Survey; Australian National University</t>
  </si>
  <si>
    <t>Flowerdew, MJ (corresponding author), British Antarctic Survey, High Cross,Madingley Rd, Cambridge CB3 0ET, England.</t>
  </si>
  <si>
    <t>mf@bas.ac.uk</t>
  </si>
  <si>
    <t>Vaughan, Alan PM/B-7829-2010; Millar, Ian L/F-1541-2010; Fanning, Christopher Mark/I-6449-2016</t>
  </si>
  <si>
    <t>Flowerdew, Michael/0000-0002-9710-2593; Fanning, Christopher Mark/0000-0003-3331-3145; Horstwood, Matthew/0000-0003-4200-8193</t>
  </si>
  <si>
    <t>0010-7999</t>
  </si>
  <si>
    <t>1432-0967</t>
  </si>
  <si>
    <t>CONTRIB MINERAL PETR</t>
  </si>
  <si>
    <t>Contrib. Mineral. Petrol.</t>
  </si>
  <si>
    <t>10.1007/s00410-006-0091-6</t>
  </si>
  <si>
    <t>Geochemistry &amp; Geophysics; Mineralogy</t>
  </si>
  <si>
    <t>046QA</t>
  </si>
  <si>
    <t>WOS:000237824900008</t>
  </si>
  <si>
    <t>Fach, BA; Klinck, JM</t>
  </si>
  <si>
    <t>Fach, Bettina A.; Klinck, John M.</t>
  </si>
  <si>
    <t>Transport of Antarctic krill (Euphausia superba) across the Scotia Sea.: Part I:: Circulation and particle tracking simulations</t>
  </si>
  <si>
    <t>CIRCUMPOLAR CURRENT FRONT; SOUTH-GEORGIA; DRAKE PASSAGE; CYCLONIC RING; POLAR FRONT; VARIABILITY; OCEAN; NORTH; PENINSULA; ISLAND</t>
  </si>
  <si>
    <t>The Harvard Ocean Prediction System (HOPS) is configured to simulate the circulation of the Scotia Sea and environs. This is part of a study designed to test the hypothesis that Antarctic krill (Euphausia superba) populations at South Georgia in the eastern Scotia Sea are sustained by import of individuals from upstream regions, such as the western Antarctic Peninsula. Comparison of the simulated circulation fields obtained from HOPS with observations showed good agreement. The surface circulation, particularly through the Drake Passage and across the Scotia Sea, matches observations, with its northeastward flow characterized by three high-speed fronts. Also, the Weddell Sea and the Brazil Current, and their associated transports match observations. In addition, mesoscale variability, an important component of the flow in this region, is found in the simulated circulation and the model is overall well suited to model krill transport. Drifter simulations conducted with HOPS showed that krill spawned in areas coinciding with known krill spawning sites along the west Antarctic Peninsula continental shelf can be entrained into the Southern Antarctic Circumpolar Current Front (SACCF). They are transported across the Scotia Sea to South Georgia in 10 months or less. Drifters originating on the continental shelf of the Weddell Sea can reach South Georgia as well; however, transport from this region averages about 20 months. Additional simulations show that such transport is sensitive to changes in wind stress and the location of the SACCF. The results of this study show that krill populations along the Antarctic Peninsula and the Weddell Sea are possible source populations that can provide krill to the South Georgia population. However, successful transport of krill to South Georgia is shown to depend on a multitude of factors, such as the location of the spawning area and timing of spawning, and variations in the location of the SACCF. Therefore, this study provides insight into which environmental factors control the successful transport of krill across the Scotia Sea and with it a better understanding of krill distribution in the region. (c) 2006 Elsevier Ltd. All rights reserved.</t>
  </si>
  <si>
    <t>Woods Hole Oceanog Inst, Woods Hole, MA 02543 USA; Old Dominion Univ, Ctr Coastal Phys Oceanog, Norfolk, VA 23529 USA</t>
  </si>
  <si>
    <t>Woods Hole Oceanographic Institution; Old Dominion University</t>
  </si>
  <si>
    <t>Fach, BA (corresponding author), Woods Hole Oceanog Inst, Mail Stop 25,266 Woods Hole Rd, Woods Hole, MA 02543 USA.</t>
  </si>
  <si>
    <t>bfach@awi-bremerhaven.de</t>
  </si>
  <si>
    <t>Fach, Bettina A/JCE-6687-2023; Fach, Bettina A/B-6003-2016</t>
  </si>
  <si>
    <t>Fach, Bettina A/0000-0003-4688-1918; Klinck, John/0000-0003-4312-5201</t>
  </si>
  <si>
    <t>10.1016/j.dsr.2006.03.006</t>
  </si>
  <si>
    <t>070OS</t>
  </si>
  <si>
    <t>WOS:000239533000005</t>
  </si>
  <si>
    <t>Fach, BA; Hofmann, EE; Murphy, EJ</t>
  </si>
  <si>
    <t>Fach, Bettina A.; Hofmann, Eileen E.; Murphy, Eugene J.</t>
  </si>
  <si>
    <t>Transport of Antarctic krill (Euphausia superba) across the Scotia Sea.: Part II.: Krill growth and survival</t>
  </si>
  <si>
    <t>Antarctic krill; Scotia Sea; growth model; source population</t>
  </si>
  <si>
    <t>MARGINAL ICE-ZONE; BRANSFIELD STRAIT REGION; SOUTH-GEORGIA; WEDDELL-SEA; PHYTOPLANKTON BIOMASS; ELEPHANT ISLAND; INTERANNUAL VARIABILITY; ELEMENTAL COMPOSITION; SEASONAL DISTRIBUTION; TEMPORAL VARIABILITY</t>
  </si>
  <si>
    <t>A time-dependent, size-structured, physiologically based krill growth model was used in conjunction with a circulation model to test the hypothesis that Antarctic krill (Euphausia superba) populations at South Georgia are sustained by import of individuals from upstream regions. Surface phytoplankton concentrations along the simulated drifter trajectories were extracted from historical Coastal Zone Color Scanner (CZCS) measurements and sea ice biota concentrations were calculated from sea ice concentration and extent extracted along drifter trajectories from Special Sensor Microwave/Imager measurements. As additional food sources, a time series of heterotrophic food was constructed from historical data, and time series of detritus concentrations were calculated using phytoplankton concentrations extracied from CZCS measurements together with measured particulate organic carbon to chlorophyll a ratios. These food resources along specified drifter trajectories were then input to the krill growth model to determine the size and viability of krill during transport from the source region to South Georgia. The krill growth model simulations showed that no single food source can support continuous growth of krill during the 58-306 days needed for transport to South Georgia. However, under the current assumptions results indicate that combinations of food sources during the transport time enhanced krill survival, with heterotrophic food and detritus being particularly important during periods of low phytoplankton concentrations. The growth model simulations also showed that larval and juvenile krill originating along the western Antarctic Peninsula can grow to 1+ (14-36mm) and 2+ (26-45 mm) age and size classes observed at South Georgia during the time needed for transport to this region. Krill originating in the Weddell Sea need 20 months for transport, which allows retention in a potentially high food environment, provided by sea ice, for almost 1 year. Krill then complete transport to South Georgia in the following year and larval and juvenile krill grow to 2+ (26-45 mm) and 3+ (35-60 mm) age and size classes during transport. The results of this study show that the successful transport of krill to South Georgia depends on a multitude of factors, such as the location of the spawning area and timing of spawning, food concentrations during transport, predation, and variations in the location of the Southern Antarctic Circumpolar Current Front (SACCF) and in sea ice extent. (c) 2006 Elsevier Ltd. All rights reserved.</t>
  </si>
  <si>
    <t>Woods Hole Oceanog Inst, Woods Hole, MA 02543 USA; Old Dominion Univ, Ctr Coastal Phys Oceanog, Norfolk, VA 23529 USA; British Antarctic Survey, Cambridge CB3 0ET, England</t>
  </si>
  <si>
    <t>Woods Hole Oceanographic Institution; Old Dominion University; UK Research &amp; Innovation (UKRI); Natural Environment Research Council (NERC); NERC British Antarctic Survey</t>
  </si>
  <si>
    <t>murphy, eugene/GZL-1620-2022; Fach, Bettina A/B-6003-2016; Fach, Bettina A/JCE-6687-2023</t>
  </si>
  <si>
    <t>Fach, Bettina A/0000-0003-4688-1918;</t>
  </si>
  <si>
    <t>10.1016/j.dsr.2006.03.007</t>
  </si>
  <si>
    <t>WOS:000239533000006</t>
  </si>
  <si>
    <t>Edwards, AM</t>
  </si>
  <si>
    <t>Edwards, Andrew M.</t>
  </si>
  <si>
    <t>Negative zooplankton do not exist - a response to 'on the stability of some equilibrium points in a plankton population model'</t>
  </si>
  <si>
    <t>DYNAMICAL SYSTEMS-AN INTERNATIONAL JOURNAL</t>
  </si>
  <si>
    <t>Simple models of the plankton ecosystem have been usefully analysed and understood using dynamical-systems techniques. These techniques have addressed important ecological questions and have provided insight into how models should be constructed. Edwards and Brindley [1996, Oscillatory behaviour in a three-component plankton population model. Dynamics and Stability of Systems, 11, 347-370] used such methods to investigate the dynamics of a model that represented the concentrations of nutrients, phytoplankton and zooplankton. Halanay [2003, On the stability of some equilibrium points in a plankton population model. Dynamical Systems, 18, 227-229] asserted that Edwards and Brindley incorrectly determined the stability of one of the model's steady states. However, Halanay's assertion requires the consideration of negative zooplankton concentrations, and so is not relevant to the biological meaning of the model.</t>
  </si>
  <si>
    <t>Edwards, AM (corresponding author), British Antarctic Survey, High Cross,Madingley Rd, Cambridge CB3 0ET, England.</t>
  </si>
  <si>
    <t>a.edwards@bas.ac.uk</t>
  </si>
  <si>
    <t>edwards, andrew m/E-6900-2010</t>
  </si>
  <si>
    <t>4 PARK SQUARE, MILTON PARK, ABINGDON OX14 4RN, OXON, ENGLAND</t>
  </si>
  <si>
    <t>1468-9367</t>
  </si>
  <si>
    <t>DYNAM SYST</t>
  </si>
  <si>
    <t>Dynam. Syst.</t>
  </si>
  <si>
    <t>10.1080/14689360600552944</t>
  </si>
  <si>
    <t>Mathematics, Applied; Physics, Mathematical</t>
  </si>
  <si>
    <t>Mathematics; Physics</t>
  </si>
  <si>
    <t>068QQ</t>
  </si>
  <si>
    <t>WOS:000239389900005</t>
  </si>
  <si>
    <t>Veevers, JJ; Belousova, EA; Saeed, A; Sircombe, K; Cooper, AF; Read, SE</t>
  </si>
  <si>
    <t>Veevers, J. J.; Belousova, E. A.; Saeed, A.; Sircombe, K.; Cooper, A. F.; Read, S. E.</t>
  </si>
  <si>
    <t>Pan-Gondwanaland detrital zircons from Australia analysed for Hf-isotopes and trace elements reflect an ice-covered Antarctic provenance of 700-500 Ma age, TDM of 2.0-1.0 Ga, and alkaline affinity</t>
  </si>
  <si>
    <t>Australia; Antarctica; detrital zircons; 700-500 ma; Pan-Gondwanaland; Hf-isotopes; trace elements; T-DM; paleogeography; alkaline provenance</t>
  </si>
  <si>
    <t>U-PB GEOCHRONOLOGY; WESTERN-AUSTRALIA; EAST ANTARCTICA; CRUSTAL EVOLUTION; BEARDMORE GROUP; PERTH BASIN; FOLD BELT; AFRICAN; MARGIN; CONSTRAINTS</t>
  </si>
  <si>
    <t>Eastern Australian sediments of Cambrian, Ordovician. Silurian-Devonian. Triassic, and Neogene ages are known to be dominated by zircons dated 700-500 Ma (Southwest Pacific-Gondwana igneous component) by the U-Pb SHRIMP method. and thought to be derived from Antarctica, as suggested also by paleogeographical evidence. To extend the characteristics of the provenance we subjected SHRIMPed zircons from the Middle Triassic Hawkesbury Sandstone and four Neogene beach sands to LAM-ICPMS analysis for rock type and Hf-isotope T-DM model ages. These data confirm the demonstration (front ages alone) that the beach sands were recycled from the Hasvkesbury Sandstone. All five samples have a substantial fraction of 700-500 Ma zircons derived from alkaline rocks with T-DM of 2.0-1.0 Ga. We analysed zircons front the nearest exposed alkaline rock of appropriate age in Antarctica: the 550-500 Ma Koettlitz Glacier Alkaline Province of the Ross orogen of the Transantarctic Mountains, emplaced during contemporary transtension. The rock types and T-DM of the Koettlitz Glacier Alkaline Province zircons match those of the eastern Australian samples but only over the restricted range of 550-500 Ma. Rocks of 700-550 Ma age and alkaline type are unknown in Antarctic exposures. Rocks of this age and type. however, abound in tile Pen-Gondwanaland orogens. The nearest of these is the Leeuwin Complex of the Pinjarra orogen of southwestern Australia, which connects through the Prydz-Leeuwin Belt with the Mozambique Orogenic Belt. In turn, the Leeuwin Complex is dominated by 700-500 Ma alkaline rocks generated by contemporary transtension. We find that zircons from a beach sand at Eneabba, 450 kill north of the Leeuwin Complex, are dominated by alkaline types. so confirming demonstration by age alone that tile sand came from the Leeuwin Complex. An important inference is that Pan-Gondwanaland terranes are potential provenances of sediment with zircons of ages 700-500 Ma, model ages 2.0-1.0 Ga. and alkaline affinity. We compiled the age spectra of our samples with others of the Southwest Pacific-Gondwana igneous component in southern Australia and reviewed their paleogeographical data. The Early Cambrian turbidites of tile Kanmantoo Group were deposited front an axial northward paleocurrent that flowed across adjacent Antarctica in Wilkes Land. The Ordovician turbidite was deposited in fore-arc and abyssal fails likewise from a northward paleocurrent that flowed parallel to the uplifted Ross-Delamerian orogen. The Ordovician-Silurian-Devonian Mathinna Supergroup was deposited in a submarine fail system that prograded to the east-northeast from high ground in Antarctica. The Hawkesbury Sandstone was deposited in a braided-river system on a surface that sloped to the north-northeast from high ground in Antarctica. Together with the zircon data, the paleogeographical evidence in the Cambrian, Ordovician, Ordovician-Silurian-Devonian, and Triassic all point to a provenance in Wilkes Land, Antarctica of Pan-Gondwanaland (700-500 Ma) terranes with alkaline rocks. (c) 2005 Elsevier B.V. All rights reserved.</t>
  </si>
  <si>
    <t>Macquarie Univ, Dept Earth &amp; Planetary Sci, GEMOC ARC Natl Key Ctr, Sydney, NSW 2109, Australia; Univ Western Australia, TSRC, Sch Earth &amp; Geog Sci, Crawley, WA 6009, Australia; Univ Otago, Dept Geol, Dunedin, New Zealand</t>
  </si>
  <si>
    <t>Macquarie University; University of Western Australia; University of Otago</t>
  </si>
  <si>
    <t>Veevers, JJ (corresponding author), Macquarie Univ, Dept Earth &amp; Planetary Sci, GEMOC ARC Natl Key Ctr, Sydney, NSW 2109, Australia.</t>
  </si>
  <si>
    <t>john.veevers@mq.edu.au</t>
  </si>
  <si>
    <t>GAU, geochemist/H-1985-2016; Belousova, Elena/JOJ-9926-2023; Sircombe, Keith/E-4998-2015</t>
  </si>
  <si>
    <t>Belousova, Elena/0000-0001-9369-4993; Read, Stephen/0000-0003-0423-6750; Belousova, Elena/0000-0003-2315-3520</t>
  </si>
  <si>
    <t>10.1016/j.earscirev.2005.11.001</t>
  </si>
  <si>
    <t>064YG</t>
  </si>
  <si>
    <t>WOS:000239126000001</t>
  </si>
  <si>
    <t>Williams, R; Hedley, SL; Hammond, PS</t>
  </si>
  <si>
    <t>Williams, Rob; Hedley, Sharon L.; Hammond, Philip S.</t>
  </si>
  <si>
    <t>Modeling distribution and abundance of Antarctic baleen whales using ships of opportunity</t>
  </si>
  <si>
    <t>ECOLOGY AND SOCIETY</t>
  </si>
  <si>
    <t>abundance; Antarctic; baleen whale; cetacean; distance sampling; distribution; line transect; platform of opportunity; spatial model</t>
  </si>
  <si>
    <t>SOCIAL-ORGANIZATION; RELATIVE ABUNDANCE; HARBOR PORPOISES; SOUTH GEORGIA; CETACEANS; JACKKNIFE; MORTALITY; DESIGN; LIMITS</t>
  </si>
  <si>
    <t>Information on animal abundance and distribution is at the cornerstone of many wildlife and conservation strategies. However, these data can be difficult and costly to obtain for cetacean species. The expense of sufficient ship time to conduct design-unbiased line transect surveys may be simply out of reach for researchers in many countries, which nonetheless grapple with problems of conservation of endangered species, by-catch of small cetaceans in commercial fisheries, and progression toward ecosystem-based fisheries management. Recently developed spatial modeling techniques show promise for estimating wildlife abundance using non-randomized surveys, but have yet to receive much field-testing in areas where designed surveys have also been conducted. Effort and sightings data were collected along 9 650 km of transects aboard ships of opportunity in the Southern Ocean during the austral summers of 2000 - 2001 and 2001 - 2002. Generalized additive models with generalized cross-validation were used to express heterogeneity of cetacean sightings as functions of spatial covariates. Models were used to map predicted densities and to estimate abundance of humpback, minke, and fin whales in the Drake Passage and along the Antarctic Peninsula. All species' distribution maps showed strong density gradients, which were robust to jackknife resampling when each of 14 trips was removed sequentially with replacement. Looped animations of model predictions of whale density illustrate uncertainty in distribution estimates in a way that is informative to non-scientists. The best abundance estimate for humpback whales was 1 829 (95% CI: 978- 3 422). Abundance of fin whales was 4 487 ( 95% CI: 1 326 - 15 179) and minke whales was 1,544 ( 95% CI: 1,221 - 1,953). These estimates agreed roughly with those reported from a designed survey conducted in the region during the previous austral summer. These estimates assumed that all animals on the trackline were detected, but preliminary results suggest that any negative bias due to violation of this assumption was likely small. Similarly, current methodological limitations prohibit inclusion of all known sources of uncertainty in the favored variance estimator. Meanwhile, our approach can be seen generally as an inexpensive pilot study to identify areas of predicted high density that could be targeted to: inform stratified designs for future line transect surveys, making them less expensive and more precise; increase efficiency of future photo-identification or biopsy studies; identify candidate time-area fisheries closures to minimize by-catch; or direct ecotourism activities. The techniques are likely to apply to areas where funding is limiting, where cetacean studies or wilderness-based tourism are just beginning, or in regions where even a very rough estimate of animal abundance is needed for conservation or management purposes.</t>
  </si>
  <si>
    <t>Univ St Andrews, St Andrews KY16 9AJ, Fife, Scotland</t>
  </si>
  <si>
    <t>University of St Andrews</t>
  </si>
  <si>
    <t>Williams, Rob/C-5882-2011</t>
  </si>
  <si>
    <t>Williams, Rob/0000-0001-7496-453X; Hammond, Philip/0000-0002-2381-8302</t>
  </si>
  <si>
    <t>RESILIENCE ALLIANCE</t>
  </si>
  <si>
    <t>WOLFVILLE</t>
  </si>
  <si>
    <t>ACADIA UNIV, BIOLOGY DEPT, WOLFVILLE, NS B0P 1X0, CANADA</t>
  </si>
  <si>
    <t>1708-3087</t>
  </si>
  <si>
    <t>ECOL SOC</t>
  </si>
  <si>
    <t>Ecol. Soc.</t>
  </si>
  <si>
    <t>Ecology; Environmental Studies</t>
  </si>
  <si>
    <t>064WR</t>
  </si>
  <si>
    <t>Green Published, gold</t>
  </si>
  <si>
    <t>WOS:000239121300002</t>
  </si>
  <si>
    <t>Aislabie, J; Saul, DJ; Foght, JM</t>
  </si>
  <si>
    <t>Aislabie, Jackie; Saul, David J.; Foght, Julia M.</t>
  </si>
  <si>
    <t>Bioremediation of hydrocarbon-contaminated polar soils</t>
  </si>
  <si>
    <t>EXTREMOPHILES</t>
  </si>
  <si>
    <t>polar soils; hydrocarbon-degrading bacteria; low temperature; bioremediation; Arctic; Antarctic; psychrotolerant</t>
  </si>
  <si>
    <t>SUB-ANTARCTIC SOILS; IN-SITU BIODEGRADATION; ARCTIC TUNDRA SOILS; PETROLEUM-HYDROCARBONS; LOW-TEMPERATURE; PSYCHROTOLERANT BACTERIA; VESTFOLD HILLS; OIL-SPILLS; DEGRADATION; BIOSTIMULATION</t>
  </si>
  <si>
    <t>Bioremediation is increasingly viewed as an appropriate remediation technology for hydrocarbon-contaminated polar soils. As for all soils, the successful application of bioremediation depends on appropriate biodegradative microbes and environmental conditions in situ. Laboratory studies have confirmed that hydrocarbon-degrading bacteria typically assigned to the genera Rhodococcus, Sphingomonas or Pseudomonas are present in contaminated polar soils. However, as indicated by the persistence of spilled hydrocarbons, environmental conditions in situ are suboptimal for biodegradation in polar soils. Therefore, it is likely that ex situ bioremediation will be the method of choice for ameliorating and controlling the factors limiting microbial activity, i.e. low and fluctuating soil temperatures, low levels of nutrients, and possible alkalinity and low moisture. Care must be taken when adding nutrients to the coarse-textured, low-moisture soils prevalent in continental Antarctica and the high Arctic because excess levels can inhibit hydrocarbon biodegradation by decreasing soil water potentials. Bioremediation experiments conducted on site in the Arctic indicate that land farming and biopiles may be useful approaches for bioremediation of polar soils.</t>
  </si>
  <si>
    <t>Landcare Res, Hamilton, New Zealand; Univ Auckland, Dept Sci Biol, Auckland 1, New Zealand; Univ Alberta, Dept Sci Biol, Edmonton, AB T6G 2E9, Canada</t>
  </si>
  <si>
    <t>Landcare Research - New Zealand; University of Auckland; University of Alberta</t>
  </si>
  <si>
    <t>Aislabie, J (corresponding author), Landcare Res, Private Bag 3127, Hamilton, New Zealand.</t>
  </si>
  <si>
    <t>aislabiej@landcareresearch.co.nz</t>
  </si>
  <si>
    <t>Foght, Julia/A-2638-2014</t>
  </si>
  <si>
    <t>Foght, Julia/0000-0002-8614-3875</t>
  </si>
  <si>
    <t>SPRINGER TOKYO</t>
  </si>
  <si>
    <t>TOKYO</t>
  </si>
  <si>
    <t>3-3-13, HONGO, BUNKYO-KU, TOKYO, 113-0033, JAPAN</t>
  </si>
  <si>
    <t>1431-0651</t>
  </si>
  <si>
    <t>Extremophiles</t>
  </si>
  <si>
    <t>10.1007/s00792-005-0498-4</t>
  </si>
  <si>
    <t>Biochemistry &amp; Molecular Biology; Microbiology</t>
  </si>
  <si>
    <t>060BK</t>
  </si>
  <si>
    <t>WOS:000238776100001</t>
  </si>
  <si>
    <t>Rodhouse, PG; Waluda, CM; Morales-Bojórquez, E; Hernández-Herrera, A</t>
  </si>
  <si>
    <t>Rodhouse, Paul G.; Waluda, Claire M.; Morales-Bojórquez, Enrique; Hernández-Herrera, Agustfn</t>
  </si>
  <si>
    <t>Fishery biology of the Humboldt squid, Dosidicus gigas, in the Eastern Pacific Ocean</t>
  </si>
  <si>
    <t>FISHERIES RESEARCH</t>
  </si>
  <si>
    <t>GULF-OF-CALIFORNIA; EL-NINO; STOCKS</t>
  </si>
  <si>
    <t>British Antarctic Survey, NERC, Cambridge CB3 0ET, England; CRIP, Inst Nacl Pesca, Lab Dinam Poblac Pacific Norte, La Paz 23020, Baja Calif Sur, Mexico; Inst Politecn Nacl, CICIMAR, La Paz 23000, Bolivia</t>
  </si>
  <si>
    <t>Rodhouse, PG (corresponding author), British Antarctic Survey, NERC, Madingley Rd,High Cross, Cambridge CB3 0ET, England.</t>
  </si>
  <si>
    <t>pgkr@bas.ac.uk</t>
  </si>
  <si>
    <t>HERNANDEZ-HERRERA, AGUSTIN/F-5941-2019; Morales-Bojorquez, Enrique/I-2863-2015</t>
  </si>
  <si>
    <t>HERNANDEZ-HERRERA, AGUSTIN/0000-0001-5760-5893; Rodhouse, Paul/0000-0001-5399-967X; Morales-Bojorquez, Enrique/0000-0001-6705-1636</t>
  </si>
  <si>
    <t>0165-7836</t>
  </si>
  <si>
    <t>1872-6763</t>
  </si>
  <si>
    <t>FISH RES</t>
  </si>
  <si>
    <t>Fish Res.</t>
  </si>
  <si>
    <t>10.1016/j.fishres.2006.02.008</t>
  </si>
  <si>
    <t>054TO</t>
  </si>
  <si>
    <t>WOS:000238401700002</t>
  </si>
  <si>
    <t>Waluda, CM; Yamashiro, C; Rodhouse, PG</t>
  </si>
  <si>
    <t>Waluda, Claire M.; Yamashiro, Carmen; Rodhouse, Paul G.</t>
  </si>
  <si>
    <t>Influence of the ENSO cycle on the light-fishery for Dosidicus gigas in the Peru Current:: An analysis of remotely sensed data</t>
  </si>
  <si>
    <t>2nd International Symposium on Pacific Squids</t>
  </si>
  <si>
    <t>NOV, 2002</t>
  </si>
  <si>
    <t>La Paz, MEXICO</t>
  </si>
  <si>
    <t>squid fishery; Dosidicus gigas; ENSO; oceanography; remote-sensing; SST</t>
  </si>
  <si>
    <t>GULF-OF-CALIFORNIA; EL-NINO; ILLEX-ARGENTINUS; SQUID; OMMASTREPHIDAE; OCEANOGRAPHY; CEPHALOPODA; VARIABILITY; RECRUITMENT; BIOLOGY</t>
  </si>
  <si>
    <t>Dosidicus gigas (the jumbo flying squid) supports a major fishery in the eastern Pacific Ocean and exhibits large fluctuations in abundance from year to year. The commercial fishery consists of a multinational jigging fleet and the emission of light from these vessels can be observed using satellite-derived imagery obtained by the United States Defence Meteorological Satellite Program-Operational Linescan System (DMSP-OLS). Fishery abundance and fleet distribution were examined in Peruvian waters during years of intermediate (1994), La Nina (1996), and El Nino (1997) conditions, and compared with catch data from other parts of the species range (to the north and south of Peru). Squid catches off Peru were highest under intermediate conditions, with lower catch levels recorded during periods of cool or warm temperature anomalies. The fishery was distributed between 3 degrees and 16 degrees S in both coastal and high seas waters, over depths of greater than 1000 m. Unusually cool or warm conditions may cause a reduction in the abundance of squid off the coast of Peru, with catches increasing in other parts of the species range, notably off the coast of Central America (close to the Costa Rica Dome) and in the Gulf of California, Mexico. Squid fishing took place in waters with sea surface temperatures (SSTs) between 17 and 22 degrees C, but SST was not directly associated with fleet distribution. It is likely that variability in upwelling strength and the occurrence of cool core mesoscale oceanographic features are important in influencing the distribution of D. gigas in Peruvian waters. (c) 2006 Elsevier B.V. All rights reserved.</t>
  </si>
  <si>
    <t>British Antarctic Survey, NERC, Cambridge CB3 0ET, England; Inst Mar Peru, Esquina Gamarra &amp; Gen Valle Chucuito, Callao, Peru</t>
  </si>
  <si>
    <t>UK Research &amp; Innovation (UKRI); Natural Environment Research Council (NERC); NERC British Antarctic Survey; Instituto del Mar del Peru</t>
  </si>
  <si>
    <t>Waluda, CM (corresponding author), British Antarctic Survey, NERC, High Cross,Madingley Rd, Cambridge CB3 0ET, England.</t>
  </si>
  <si>
    <t>clwa@bas.ac.uk</t>
  </si>
  <si>
    <t>Yamashiro-Guinoza, Carmen Rosario/0000-0003-4379-4392</t>
  </si>
  <si>
    <t>10.1016/j.fishres.2006.02.017</t>
  </si>
  <si>
    <t>WOS:000238401700007</t>
  </si>
  <si>
    <t>Laybourn-Parry, J; Madan, NJ; Marshall, WA; Marchant, HJ; Wright, SW</t>
  </si>
  <si>
    <t>Laybourn-Parry, Johanna; Madan, Nanette J. .; Marshall, William A.; Marchant, Harvey J. .; Wright, Simon W.</t>
  </si>
  <si>
    <t>Carbon dynamics in an ultra-oligotrophic epishelf lake (Beaver Lake, Antarctica) in summer</t>
  </si>
  <si>
    <t>FRESHWATER BIOLOGY</t>
  </si>
  <si>
    <t>Antarctic; carbon; epishelf lake; microbial plankton; production</t>
  </si>
  <si>
    <t>FRESH-WATER; BUNGER HILLS; SALINE LAKES; PHYTOPLANKTON; PATTERNS; OASIS</t>
  </si>
  <si>
    <t>1. Microbial plankton dynamics in an ultra-oligotrophic epishelf lake (Beaver Lake, Antarctica) were investigated over an austral summer (December 2002 to January 2003). The aim was to characterise carbon cycling in an environmentally extreme lake. 2. The lake had an unusual temperature profile with peak temperatures of 1.3-1.9 degrees C between 20 and 25 m. Photosynthetically active radiation penetrated to the lake bottom (110 m) on occasions. The ice cover underwent marked thinning and melting during the study period. 3. Chlorophyll a concentrations were consistently low, usually below 1 mu g L-1, with highest concentrations close to the lake bottom, where the photosynthetic elements showed strong autofluorescence. Mean photosynthetic nanoflagellates ranged between 34.9 x 10(4) L-1 +/- 33.5 (23rd December) and 130.9 x 10(4) L-1 +/- 112.3 (4th December). Highest photosynthetic activity was usually recorded below 25 m. Rates of carbon fixation varied between 0.089 mu g C L-1 h(-1) +/- 0.002 and 0.579 mu g C L-1 h(-1) +/- 0.156. Primary production was limited by low temperature and orthophosphate availability. 4. Mean bacterial concentration throughout the water column ranged between 9.3 x 10(7) L-1 +/- 1.2 (23rd December) and 14.0 x 10(7) L-1 +/- 1.8 (28th January). Bacterial production was low, less than 10% of primary production and ranged between 2.1 ng C L-1 h(-1) +/- 0.8 and 12 ng C L-1 h(-1) +/- 0.9. Highest rates coincided with times of highest primary production. On occasion dissolved organic carbon (DOC) concentrations dropped to 20 mu g L-1, probably below accurate limits of detection, suggesting that carbon substratum and phosphorus may have limited bacterial growth. 5. Heterotrophic nanoflagellates varied significantly over the summer from a mean of 26.6 x 10(4) L-1 +/- 14.2 (23rd December) to 133.8 x 10(4) L-1 +/- 33.5 (14th December). They imposed a significant grazing impact on the bacterioplankton, removing in excess of 100% of bacterial production in December. 6. The total organic carbon pool [DOC and particulate organic carbon (POC)] was below 600 mu g L-1. The ratio of DOC : POC ranged between 0.44 : 1 and 2.8 : 1 in the upper 40 m of the water column, and 1.8 : 1 and 3.7 : 1 in the lower waters. The microbial plankton contributed 1-29% of POC, thus detrital POC made up the largest fraction of the POC pool. 7. Beaver Lake is an extreme lacustrine ecosystem where heterotrophic processes occasionally appear to be carbon limited. Significant summer ice-melt, not seen in a previous opportunistic sampling, may be having an impact on the carbon cycle.</t>
  </si>
  <si>
    <t>Univ Keele, Inst Environm Phys Sci &amp; Appl Math, Keele ST5 5BG, Staffs, England; Univ Nottingham, Sch Biosci, Nottingham, England; Australian Antarctic Div, Kingston, Tas, Australia; Antarctic Climate Change &amp; Ecosyst CRC, Kingston, Tas, Australia</t>
  </si>
  <si>
    <t>Keele University; University of Nottingham; Australian Antarctic Division</t>
  </si>
  <si>
    <t>Laybourn-Parry, J (corresponding author), Univ Keele, Inst Environm Phys Sci &amp; Appl Math, Keele ST5 5BG, Staffs, England.</t>
  </si>
  <si>
    <t>j.laybourn-parry@natsci.keele.ac.uk</t>
  </si>
  <si>
    <t>0046-5070</t>
  </si>
  <si>
    <t>1365-2427</t>
  </si>
  <si>
    <t>FRESHWATER BIOL</t>
  </si>
  <si>
    <t>Freshw. Biol.</t>
  </si>
  <si>
    <t>10.1111/j.1365-2427.2006.01560.x</t>
  </si>
  <si>
    <t>044SN</t>
  </si>
  <si>
    <t>WOS:000237692800011</t>
  </si>
  <si>
    <t>McMahon, CR</t>
  </si>
  <si>
    <t>McMahon, Clive R.</t>
  </si>
  <si>
    <t>War of the roses: towards a holistic view of invasive species management</t>
  </si>
  <si>
    <t>FRONTIERS IN ECOLOGY AND THE ENVIRONMENT</t>
  </si>
  <si>
    <t>Letter</t>
  </si>
  <si>
    <t>Univ Tasmania, Sch Zool, Antarctic Wildlife Res Unit, Hobart, Tas 7001, Australia</t>
  </si>
  <si>
    <t>McMahon, CR (corresponding author), Univ Tasmania, Sch Zool, Antarctic Wildlife Res Unit, POB 252-05, Hobart, Tas 7001, Australia.</t>
  </si>
  <si>
    <t>cmcmahon@utas.edu.au</t>
  </si>
  <si>
    <t>McMahon, Clive R/D-5713-2013</t>
  </si>
  <si>
    <t>McMahon, Clive R/0000-0001-5241-8917</t>
  </si>
  <si>
    <t>1990 M STREET NW, STE 700, WASHINGTON, DC 20036 USA</t>
  </si>
  <si>
    <t>1540-9295</t>
  </si>
  <si>
    <t>FRONT ECOL ENVIRON</t>
  </si>
  <si>
    <t>Front. Ecol. Environ.</t>
  </si>
  <si>
    <t>050KF</t>
  </si>
  <si>
    <t>WOS:000238085500017</t>
  </si>
  <si>
    <t>Messing, RH; Wright, MG</t>
  </si>
  <si>
    <t>Messing, R. H.; Wright, M. G.</t>
  </si>
  <si>
    <t>Biological control of invasive species: solution or pollution? (vol 4, pg 132, 2006)</t>
  </si>
  <si>
    <t>Messing, RH (corresponding author), Univ Tasmania, Sch Zool, Antarctic Wildlife Res Unit, POB 252-05, Hobart, Tas 7001, Australia.</t>
  </si>
  <si>
    <t>Wright, Mark G/A-7349-2009</t>
  </si>
  <si>
    <t>WOS:000238085500018</t>
  </si>
  <si>
    <t>Raiswell, R; Tranter, M; Benning, LG; Siegert, M; De'ath, R; Huybrechts, P; Payne, T</t>
  </si>
  <si>
    <t>Raiswell, Rob; Tranter, Martyn; Benning, Liane G.; Siegert, Martin; De'ath, Ros; Huybrechts, Philippe; Payne, Tony</t>
  </si>
  <si>
    <t>Contributions from glacially derived sediment to the global iron (oxyhydr)oxide cycle: Implications for iron delivery to the oceans</t>
  </si>
  <si>
    <t>ORGANIC-MATTER; MINERAL SURFACES; HUMIC SUBSTANCES; SOUTHERN-OCEAN; FLUXES; RIVER; CO2; MANGANESE; GOETHITE; BEHAVIOR</t>
  </si>
  <si>
    <t>Estimates of glacial sediment delivery to the oceans have been derived from fluxes of meltwater runoff and iceberg calving, and their sediment loads. The combined total (2900 Tg yr(-1)) of the suspended sediment load in meltwaters (1400 Tg yr-1) and the sediment delivered by icebergs (1500 Tg yr(-1)) are within the range of earlier estimates. High-resolution microscopic observations show that suspended sediments from glacial meltwaters, supraglacial, and proglacial sediments, and sediments in basal ice, from Arctic, Alpine, and Antarctic locations all contain iron (oxyhydr)oxide nanoparticles, which are poorly crystalline, typically similar to 5 nm in diameter, and which occur as single grains or aggregates that may be isolated or attached to sediment grains. Nanoparticles with these characteristics are potentially bioavailable. A global model comparing the sources and sinks of iron present as (oxyhydr)oxides indicates that sediment delivered by icebergs is a significant source of iron to the open oceans, beyond the continental shelf. Iceberg delivery of sediment containing iron as (oxyhydr)oxides during the Last Glacial Maximum may have been sufficient to fertilise the increase in oceanic productivity required to drawdown atmospheric CO2 to the levels observed in ice cores. (c) 2006 Elsevier Inc. All rights reserved.</t>
  </si>
  <si>
    <t>Univ Leeds, Sch Earth &amp; Environm, Leeds LS2 9JT, W Yorkshire, England; Univ Bristol, Bristol Glaciol Ctr, Sch Geog Sci, Bristol BS8 1SS, Avon, England; Vrije Univ Brussels, Dept Geog, B-1050 Brussels, Belgium</t>
  </si>
  <si>
    <t>University of Leeds; University of Bristol; Vrije Universiteit Brussel</t>
  </si>
  <si>
    <t>Raiswell, R (corresponding author), Univ Leeds, Sch Earth &amp; Environm, Leeds LS2 9JT, W Yorkshire, England.</t>
  </si>
  <si>
    <t>r.raiswell@earth.leeds.ac.uk</t>
  </si>
  <si>
    <t>Siegert, Martin J/A-3826-2008; Siegert, Martin/M-9939-2019; payne, antony/A-8916-2008; Tranter, Martyn/E-3722-2010; Huybrechts, Philippe/J-5278-2013; Benning, Liane G./E-7071-2011</t>
  </si>
  <si>
    <t>Siegert, Martin J/0000-0002-0090-4806; Siegert, Martin/0000-0002-0090-4806; payne, antony/0000-0001-8825-8425; Tranter, Martyn/0000-0003-2071-3094; Huybrechts, Philippe/0000-0003-1406-0525; Benning, Liane G./0000-0001-9972-5578</t>
  </si>
  <si>
    <t>JUN 1</t>
  </si>
  <si>
    <t>10.1016/j.gca.2005.12.027</t>
  </si>
  <si>
    <t>046NR</t>
  </si>
  <si>
    <t>WOS:000237818800008</t>
  </si>
  <si>
    <t>Rickaby, REM; Shaw, S; Bennitt, G; Kennedy, H; Zabel, M; Lennie, A</t>
  </si>
  <si>
    <t>Rickaby, R. E. M.; Shaw, S.; Bennitt, G.; Kennedy, H.; Zabel, M.; Lennie, A.</t>
  </si>
  <si>
    <t>Potential of ikaite to record the evolution of oceanic δ18O</t>
  </si>
  <si>
    <t>Pleistocene; ikaite; sea level; ice volume; oxygen isotopes; climate</t>
  </si>
  <si>
    <t>CALCIUM-CARBONATE HEXAHYDRATE; ISOTOPE FRACTIONATION; SEA; OXYGEN; WATER; PSEUDOMORPHS; METHANE; MARINE; ORIGIN; GEOCHEMISTRY</t>
  </si>
  <si>
    <t>A challenge in the quest to understand the sensitivity of the climate system is the separation of the competing effects of ice volume or sea level, salinity, and temperature on foraminiferal sigma O-18. We present precipitation experiments on the mineral ikaite, a hydrated form of calcium carbonate found in organic carbon-rich deep-marine sediments, that show that the hydration waters within the ikaite crystal capture the delta O-18 of seawater (delta O-18(sw).) with a fractionation factor of 1.0029 (+/- 0.0002). The delta O-18(sw) measures the volume of continental ice, with an overprint of local salinity. Isolation of delta O-18(sw) by analysis of the hydration waters of sedimentary ikaite preserved at temperatures &lt; 4 degrees C could be exploited to create a record of sea level during the Pleistocene. Preliminary data of delta O-18(sw) from hydration waters of ikaite at the Last Glacial Maximum agree with estimates from modeling of pore waters that Antarctic Bottom Water was +1.4 parts per thousand +/- 0.2 parts per thousand heavier.</t>
  </si>
  <si>
    <t>Univ Oxford, Dept Earth Sci, Oxford OX1 3PR, England; Univ Leeds, Sch Earth &amp; Environm, Leeds LS2 9JT, W Yorkshire, England; Univ Wales, Sch Ocean Sci, Anglesey LL59 5AB, Wales; Univ Bremen, FB5 Geosci, D-28334 Bremen, Germany; Daresbury Lab, Council Cent Lab Res Councils, Warrington WA4 4AD, Cheshire, England</t>
  </si>
  <si>
    <t>University of Oxford; University of Leeds; Bangor University; University of Bremen; STFC Daresbury Laboratory</t>
  </si>
  <si>
    <t>Rickaby, REM (corresponding author), Univ Oxford, Dept Earth Sci, Pk Road, Oxford OX1 3PR, England.</t>
  </si>
  <si>
    <t>Shaw, Sam/JAO-0133-2023; Shaw, Sam/A-3528-2017; Shaw, Sam/D-6869-2011; Kennedy, Hilary A/M-5574-2014; Zabel, Matthias/E-5044-2011</t>
  </si>
  <si>
    <t>Shaw, Sam/0000-0002-6353-5454; Kennedy, Hilary A/0000-0003-2290-2120; Zabel, Matthias/0000-0003-4681-1821; Rickaby, Rosalind/0000-0002-6095-8419</t>
  </si>
  <si>
    <t>10.1130/G22413.1</t>
  </si>
  <si>
    <t>052ZZ</t>
  </si>
  <si>
    <t>WOS:000238274100021</t>
  </si>
  <si>
    <t>Tabacco, IE; Cianfarra, P; Forieri, A; Salvini, F; Zirizotti, A</t>
  </si>
  <si>
    <t>Tabacco, I. E.; Cianfarra, P.; Forieri, A.; Salvini, F.; Zirizotti, A.</t>
  </si>
  <si>
    <t>Physiography and tectonic setting of the subglacial lake district between Vostok and Belgica subglacial highlands (Antarctica)</t>
  </si>
  <si>
    <t>GEOPHYSICAL JOURNAL INTERNATIONAL</t>
  </si>
  <si>
    <t>Antarctica; HCA modelling; radio echo sounding; subglacial lakes; tectonic setting</t>
  </si>
  <si>
    <t>DOME-C; ICE FLOW; INVENTORY; REGION; MAP</t>
  </si>
  <si>
    <t>We present the interpretation of 11 radio echo-sounding (RES) missions carried out over the Vostok-Dome Concordia region during the Italian Antarctic expeditions in the period 1995-2001. The extension and the density of the radar data in the surveyed area allowed to reconstruct a reliable subglacial morphology and to identify four relevant morphological structures namely: the Aurora trench, the Concordia trench, the Concordia ridge and the South Hills. These structures show evidence compatible with the presence of tectonic features. Morphological considerations indicate their development in Cenozoic time. Hybrid cellular automata (HCA)-based numerical modelling allowed to justify a possible role played by the tectonics of the Aurora and Concordia trench evolution. This was accomplished by matching the bed profiles along opportunely projected sections with the modelled surfaces as derived by the activity of normal faults with variable surfaces within the continental crust. The Vostok-Dome C region is characterized by a large number of subglacial lakes. From the analysis of basal reflected power echo, we identified 14 new lakes and obtained information about their physiography as well as their possible relations with tectonics. We propose a grouping of subglacial lakes on the base of their physiography and geological setting, namely relief lakes, basin lakes and trench lakes. Relief lakes located in the Belgica subglacial highlands and are characterized by sharp and steep symmetric edges, suggesting a maximum water depth of the order of 100 m. Their origin may well relate to localized, positive geothermal flux anomalies. Basin lakes located in the Vincennes subglacial basin and are characterized by wider dimension that allow the development of well-defined, flat ice surface anomalies. Trench lakes characterize the Aurora and Concordia trenches as the possible effect of normal fault activity.</t>
  </si>
  <si>
    <t>Univ Milan, Dipartimento Sci Terra, Sez Geofis, I-20129 Milan, Italy; Univ Roma Tre, Dip Sci Geol, I-00146 Rome, Italy; Ist Nazl Geofis &amp; Vulcanol, I-00143 Rome, Italy</t>
  </si>
  <si>
    <t>University of Milan; Roma Tre University; Istituto Nazionale Geofisica e Vulcanologia (INGV)</t>
  </si>
  <si>
    <t>Tabacco, IE (corresponding author), Univ Milan, Dipartimento Sci Terra, Sez Geofis, Via Cicognara 7, I-20129 Milan, Italy.</t>
  </si>
  <si>
    <t>ignazio.tabacco@unimi.it</t>
  </si>
  <si>
    <t>Zirizzotti, Achille/HKE-0592-2023; CIANFARRA, Paola/AAQ-5641-2020; CIANFARRA, Paola/JCE-5168-2023</t>
  </si>
  <si>
    <t>CIANFARRA, Paola/0000-0001-9396-4519; Zirizzotti, Achille/0000-0001-7586-9219</t>
  </si>
  <si>
    <t>0956-540X</t>
  </si>
  <si>
    <t>1365-246X</t>
  </si>
  <si>
    <t>GEOPHYS J INT</t>
  </si>
  <si>
    <t>Geophys. J. Int.</t>
  </si>
  <si>
    <t>10.1111/j.1365-246X.2006.02954.x</t>
  </si>
  <si>
    <t>058ET</t>
  </si>
  <si>
    <t>WOS:000238649000024</t>
  </si>
  <si>
    <t>Hansen, K</t>
  </si>
  <si>
    <t>Fish teeth bite into Antarctic formation</t>
  </si>
  <si>
    <t>GEOTIMES</t>
  </si>
  <si>
    <t>AMER GEOLOGICAL INST</t>
  </si>
  <si>
    <t>ALEXANDRIA</t>
  </si>
  <si>
    <t>4220 KING ST, ALEXANDRIA, VA 22302-1507 USA</t>
  </si>
  <si>
    <t>0016-8556</t>
  </si>
  <si>
    <t>Geotimes</t>
  </si>
  <si>
    <t>051NP</t>
  </si>
  <si>
    <t>WOS:000238168100009</t>
  </si>
  <si>
    <t>Mikhalsky, EV; Sheraton, JW; Hahne, K</t>
  </si>
  <si>
    <t>Mikhalsky, E. V.; Sheraton, J. W.; Hahne, K.</t>
  </si>
  <si>
    <t>Charnockite composition in relation to the tectonic evolution of East Antarctica</t>
  </si>
  <si>
    <t>charnockite; neoproterozoic; Pan-African; East Antarctica</t>
  </si>
  <si>
    <t>PRINCE-CHARLES-MOUNTAINS; A-TYPE GRANITES; IGNEOUS CHARNOCKITES; MELT COMPOSITIONS; BUNGER HILLS; ORIGIN; ROCKS; DISCRIMINATION; GEOCHEMISTRY; GRANULITE</t>
  </si>
  <si>
    <t>Chamockitic suites in central Dronning Maud Land (DML), Mac.Robertson Land (MRL), and the Bunger Hills area are compositionally varied and probably include both mantle and lower-crustal components. In this paper we present new geological and geochemical data on the DML chamockitic rocks, and compare their geochemistry with that of chamockitic rocks from several other Antarctic high-grade terranes, particularly MRL and the Bunger Hills. These areas have different geological histories and one of the main aims of this study is to investigate possible links between charnockite composition and the tectonic history of their host terranes. Antarctic chamockitic rocks form two distinct compositional groups. 510 Ma DML charnockites are relatively alkalic and ferroan, with high K2O, Zr, Ga, Fe/Mg, and Ga/Al, and very low MgO, characteristic of A-type (alkaline, commonly anorogenic) granitoids. The more mafic DML rocks, at least, were derived by fractionation of a relatively alkaline high-P-Ti ferrogabbro parent magma. Most other early Palaeozoic chamockitic rocks in Antarctica are of similar composition. In contrast, MRL (c. 980 Ma) and Bunger Hills (c. 1170 Ma) charnockites are mainly calc-alkalic or calcic and magnesian, and the associated mafic components are tholeiitic. MRL and Bunger Hills chamockites are late-orogenic, whereas DML chamockites are post-orogenic, and appear to have been emplaced after post-collision extension and decompression. These two mineralogically and geochemically distinct charnockite groups may thus reflect a compositional trend in an evolving orogen, either accretional or collisional, respectively. (C) 2006 International Association for Gondwana Research. Published by Elsevier B.V. All rights reserved.</t>
  </si>
  <si>
    <t>VNIIOkeangeol, St Petersburg 190121, Russia; Stoneacre, St Briavels GL15 6TL, Glos, England; Geoforschungszentrum Potsdam, D-14407 Potsdam, Germany</t>
  </si>
  <si>
    <t>Helmholtz Association; Helmholtz-Center Potsdam GFZ German Research Center for Geosciences</t>
  </si>
  <si>
    <t>Mikhalsky, EV (corresponding author), VNIIOkeangeol, Angliisky Ave 1, St Petersburg 190121, Russia.</t>
  </si>
  <si>
    <t>enukhalsky@mail.ru</t>
  </si>
  <si>
    <t>Mikhalsky, E./I-7556-2013</t>
  </si>
  <si>
    <t>10.1016/j.gr.2005.11.007</t>
  </si>
  <si>
    <t>054ZI</t>
  </si>
  <si>
    <t>WOS:000238416700002</t>
  </si>
  <si>
    <t>Conti, SG; Demer, DA</t>
  </si>
  <si>
    <t>Improved parameterization of the SDWBA for estimating krill target strength</t>
  </si>
  <si>
    <t>ICES JOURNAL OF MARINE SCIENCE</t>
  </si>
  <si>
    <t>antarctic krill; backscattering cross-section; SDWBA model; sensitivity; target strength</t>
  </si>
  <si>
    <t>WAVE BORN APPROXIMATION; ANTARCTIC KRILL; EUPHAUSIA-SUPERBA; BROAD-BANDWIDTH; ORIENTATION; SCATTERING; MODEL</t>
  </si>
  <si>
    <t>Recently, a Stochastic Distorted Wave Born Approximation (SDWBA) model was proposed to improve target strength (TS) estimates for Antarctic krill, Euphausia superba. The krill shape is modelled by a collection of cylinders, and total sound scatter is estimated by semi-coherent summation of scatter from each element. The SDWBA model was evaluated with a generic krill shape comprising 14 cylinders and a phase variability of root 2/2 radians, and predictions were validated with empirical TS and total TS data at 120 kHz, and over a broad bandwidth, respectively. For general application, parameterization of the SDWBA model is improved to account explicitly for dependence among four of the model parameters: standard length of krill, number of cylinders used to describe its shape, amplitude of inter-element phase variability, and acoustic frequency. The model improvements are demonstrated, and the uncertainty in orientation distribution of krill beneath survey vessels and its ramifications on krill biomass estimates are highlighted. (c) 2006 International Council for the Exploration of the Sea. Published by Elsevier Ltd. All rights reserved.</t>
  </si>
  <si>
    <t>SW Fisheries Sci Ctr, La Jolla, CA 92037 USA</t>
  </si>
  <si>
    <t>National Oceanic Atmospheric Admin (NOAA) - USA</t>
  </si>
  <si>
    <t>Conti, SG (corresponding author), SW Fisheries Sci Ctr, 8604 La Jolla Shores Dr, La Jolla, CA 92037 USA.</t>
  </si>
  <si>
    <t>sconti@ucsd.edu</t>
  </si>
  <si>
    <t>, David/ABC-8990-2022</t>
  </si>
  <si>
    <t>, David/0000-0001-5083-8854</t>
  </si>
  <si>
    <t>ACADEMIC PRESS LTD ELSEVIER SCIENCE LTD</t>
  </si>
  <si>
    <t>24-28 OVAL RD, LONDON NW1 7DX, ENGLAND</t>
  </si>
  <si>
    <t>1054-3139</t>
  </si>
  <si>
    <t>ICES J MAR SCI</t>
  </si>
  <si>
    <t>ICES J. Mar. Sci.</t>
  </si>
  <si>
    <t>10.1016/j.icesjms.2006.02.007</t>
  </si>
  <si>
    <t>Fisheries; Marine &amp; Freshwater Biology; Oceanography</t>
  </si>
  <si>
    <t>055XA</t>
  </si>
  <si>
    <t>WOS:000238483300015</t>
  </si>
  <si>
    <t>Howgego, RJ</t>
  </si>
  <si>
    <t>Howgego, Raymond John</t>
  </si>
  <si>
    <t>Sir James Wordie, Polar Crusader: Exploring the Arctic and Antarctic</t>
  </si>
  <si>
    <t>INTERNATIONAL JOURNAL OF MARITIME HISTORY</t>
  </si>
  <si>
    <t>0843-8714</t>
  </si>
  <si>
    <t>2052-7756</t>
  </si>
  <si>
    <t>INT J MARIT HIST</t>
  </si>
  <si>
    <t>Int. J. Marit. Hist.</t>
  </si>
  <si>
    <t>10.1177/084387140601800179</t>
  </si>
  <si>
    <t>History</t>
  </si>
  <si>
    <t>V57FF</t>
  </si>
  <si>
    <t>WOS:000210613000079</t>
  </si>
  <si>
    <t>Yi, HN; Chun, J</t>
  </si>
  <si>
    <t>Yi, Hana; Chun, Jongsik</t>
  </si>
  <si>
    <t>Flavobacterium weaverense sp nov and Flavobacterium segetis sp nov., novel psychrophiles isolated from the Antarctic</t>
  </si>
  <si>
    <t>EMENDED DESCRIPTION; BACTERIA; NOCARDIA; FAMILY</t>
  </si>
  <si>
    <t>Two psychrophilic flavobacteria, designated AT1042(T) and AT1048(T), were isolated from terrestrial samples from the Antarctic. Results of 16S rRNA gene sequence analyses indicated a close relationship of these isolates to Flavobacterium flevense (96(.)9 % similarity for strain AT1042 T) and Flavobacterium psychrolimnae (97(.)0 % for strain AT1048T). Cells were non-motile and non-gliding. Flexinubin-type pigments were absent. Both isolates were psychrophilic, with an optimum and maximum growth temperature of about 15 and 20 degrees C, respectively. The major isoprenoid quinone, predominant cellular fatty acids and DNA G +C contents (35-37 mol%) were consistent with the placement of the Antarctic isolates in the genus Flavobacterium. Phylogeny based on 16S rRNA gene sequences and several phenotypic characteristics could be used to differentiate these isolates from recognized Flavobacterium species. Despite high 16S rRNA gene sequence similarity (98-9 %) between strains AT1042 and AT1048, they represented two distinct species as demonstrated by low genomic relatedness (34 %) and a number of differential phenotypic characters. The polyphasic data presented in this study indicated that the new isolates should be classified within two novel species in the genus Flavobacterium. The names Flavobacterium weaverense sp. nov. (type strain AT1042(T) = IMSNU 14048(T) = KCTC 12223(T)=JCM 12384(T)) and Flavobacterium segetis sp. nov. (type strain AT1048(T) = IMSNU 14050(T) =KCTC 12224(T)=JCM 12385(T)) are proposed for these Antarctic isolates.</t>
  </si>
  <si>
    <t>Seoul Natl Univ, Sch Biol Sci, Seoul 151742, South Korea; Seoul Natl Univ, Inst Microbiol, Seoul 151742, South Korea</t>
  </si>
  <si>
    <t>Seoul National University (SNU); Seoul National University (SNU)</t>
  </si>
  <si>
    <t>Chun, J (corresponding author), Seoul Natl Univ, Sch Biol Sci, 56-1 Shillim Dong, Seoul 151742, South Korea.</t>
  </si>
  <si>
    <t>jchun@snu.ac.kr</t>
  </si>
  <si>
    <t>Chun, Jongsik/R-8458-2017</t>
  </si>
  <si>
    <t>Chun, Jongsik/0000-0003-3385-5171; Yi, Hana/0000-0002-4910-122X</t>
  </si>
  <si>
    <t>MICROBIOLOGY SOC</t>
  </si>
  <si>
    <t>CHARLES DARWIN HOUSE, 12 ROGER ST, LONDON WC1N 2JU, ERKS, ENGLAND</t>
  </si>
  <si>
    <t>1466-5034</t>
  </si>
  <si>
    <t>10.1099/ijs.0.64164-0</t>
  </si>
  <si>
    <t>055UE</t>
  </si>
  <si>
    <t>WOS:000238475200012</t>
  </si>
  <si>
    <t>Skurnik, D; Ruimy, R; Andremont, A; Amorin, C; Rouquet, P; Picard, B; Denamur, E</t>
  </si>
  <si>
    <t>Skurnik, David; Ruimy, Raymond; Andremont, Antoine; Amorin, Christine; Rouquet, Pierre; Picard, Bertrand; Denamur, Erick</t>
  </si>
  <si>
    <t>Effect of human vicinity on antimicrobial resistance and integrons in animal faecal Escherichia coli</t>
  </si>
  <si>
    <t>JOURNAL OF ANTIMICROBIAL CHEMOTHERAPY</t>
  </si>
  <si>
    <t>selective pressure; environment; wild; domestic; pets</t>
  </si>
  <si>
    <t>ANTIBIOTIC-RESISTANCE; AQUATIC ENVIRONMENT; BACTERIA; WILD</t>
  </si>
  <si>
    <t>Objectives: To determine the level of antimicrobial resistance and the occurrence of class 1, 2 and 3 integrons in faecal Escherichia coli from several animal populations variously exposed to human contact. Methods: A collection of 341 faecal E. coli isolates was constituted from several animal populations subject to various degrees of exposure to humans: 18 animals never exposed to humans (living in the Antarctic or Gabon), 71 wild animals living in a low human density area (mountainous region of the Pyrenees, France), 61 wild animals living in a higher human density area (Fontainebleau forest near Paris, France), and 128 extensively reared farm animals and 42 pet dogs, both living in the Pyrenees. Resistance to antimicrobial agents was determined by the method of disc diffusion and quantified using the resistance score of BE Murray, JJ Mathewson, HL DuPont, CD Ericsson and RR Reves (Antimicrobial Agents and Chemotherapy 1990; 34: 515-18). Integrons were characterized by triplex real-time PCR and sequencing. The absence of epidemiologic clones was confirmed by PCR-based methods. Results: A gradient of resistance ranging from absence to high prevalence (resistance score of 18.7%) and a gradual increase in the prevalence of class 1 integrons (from 0% to 16%), both correlated with the increase in exposure to humans, were observed. In wild animals with little contact with humans, resistance, when present, was not mediated by integrons. Conclusions: Our findings firmly establish that the current prevalence of antimicrobial resistance found in animal faecal bacteria, as well as the prevalence of integrons, is clearly anthropogenic. The presence of integrons may constitute an adaptive process to environments whose antimicrobial pressure exceeds a certain threshold.</t>
  </si>
  <si>
    <t>INSERM, U722, F-75018 Paris, France; Univ Paris 07, UFR Med, F-75018 Paris, France; Hop Bichat Claude Bernard, AP HP, Bacteriol Lab, F-75018 Paris, France; Univ Paris 07, EA 3964, F-75018 Paris, France; CIRMF, Franceville, Gabon</t>
  </si>
  <si>
    <t>Institut National de la Sante et de la Recherche Medicale (Inserm); Universite Paris Cite; Assistance Publique Hopitaux Paris (APHP); Universite Paris Cite; Hopital Universitaire Bichat-Claude Bernard - APHP; Universite Paris Cite</t>
  </si>
  <si>
    <t>Denamur, E (corresponding author), INSERM, U722, Site Xavier Bichat,16 Rue Henri Huchard, F-75018 Paris, France.</t>
  </si>
  <si>
    <t>denamur@bichat.inserm.fr</t>
  </si>
  <si>
    <t>Ruimy, Raymond/P-6068-2016</t>
  </si>
  <si>
    <t>Skurnik, David/0000-0002-4205-9639</t>
  </si>
  <si>
    <t>0305-7453</t>
  </si>
  <si>
    <t>1460-2091</t>
  </si>
  <si>
    <t>J ANTIMICROB CHEMOTH</t>
  </si>
  <si>
    <t>J. Antimicrob. Chemother.</t>
  </si>
  <si>
    <t>10.1093/jac/dkl122</t>
  </si>
  <si>
    <t>Infectious Diseases; Microbiology; Pharmacology &amp; Pharmacy</t>
  </si>
  <si>
    <t>052TX</t>
  </si>
  <si>
    <t>WOS:000238257900030</t>
  </si>
  <si>
    <t>Heads, M</t>
  </si>
  <si>
    <t>Heads, Michael</t>
  </si>
  <si>
    <t>Panbiogeography of Nothofagus (Nothofagaceae):: analysis of the main species massings</t>
  </si>
  <si>
    <t>Brassospora; dispersal; fossils; main massing; Nothofagus; Pacific; panbiogeography; rain forest; terrane; vicariance</t>
  </si>
  <si>
    <t>NEW-CALEDONIA; SUBGENUS BRASSOSPORA; TECTONIC EVOLUTION; SOUTHWEST PACIFIC; NEW-GUINEA; BIOGEOGRAPHY; MIOCENE; GENUS; PHYLOGENETICS; MACROFOSSILS</t>
  </si>
  <si>
    <t>Aim The aim of this paper is to analyse the biogeography of Nothofagus and its subgenera in the light of molecular phylogenies and revisions of fossil taxa. Location Cooler parts of the South Pacific: Australia, Tasmania, New Zealand, montane New Guinea and New Caledonia, and southern South America. Methods Panbiogeographical analysis is used. This involves comparative study of the geographic distributions of the Nothofagus taxa and other organisms in the region, and correlation of the main patterns with historical geology. Results The four subgenera of Nothofagus have their main massings of extant species in the same localities as the main massings of all (fossil plus extant) species. These main massings are vicariant, with subgen. Lophozonia most diverse in southern South America (north of Chiloe I.), subgen. Fuscospora in New Zealand, subgen. Nothofagus in southern South America (south of Valdivia), and subgen. Brassospora in New Guinea and New Caledonia. The main massings of subgen. Brassospora and of the clade subgen. Brassospora/subgen. Nothofagus (New Guinea-New Caledonia-southern South America) conform to standard biogeographical patterns. Main conclusions The vicariant main massings of the four subgenera are compatible with largely allopatric differentiation and no substantial dispersal since at least the Upper Cretaceous (Upper Campanian), by which time the fossil record shows that the four subgenera had evolved. The New Guinea-New Caledonia distribution of subgenus Brassospora is equivalent to its total main massing through geological time and is explained by different respective relationships of different component terranes of the two countries. Global vicariance at family level suggests that Nothofagaceae/Nothofagus evolved largely as the South Pacific/Antarctic vicariant in the breakup of a world-wide Fagales ancestor.</t>
  </si>
  <si>
    <t>Univ S Pacific, Dept Biol, Suva, Fiji</t>
  </si>
  <si>
    <t>University of the South Pacific</t>
  </si>
  <si>
    <t>Heads, M (corresponding author), Univ S Pacific, Dept Biol, POB 1168, Suva, Fiji.</t>
  </si>
  <si>
    <t>heads_m@usp.ac.fj</t>
  </si>
  <si>
    <t>1365-2699</t>
  </si>
  <si>
    <t>10.1111/j.1365-2699.2006.01479.x</t>
  </si>
  <si>
    <t>040AX</t>
  </si>
  <si>
    <t>WOS:000237352500010</t>
  </si>
  <si>
    <t>Arendt, J; Middleton, B; Williams, P; Francis, G; Luke, C</t>
  </si>
  <si>
    <t>Sleep and circadian phase in a ships crew</t>
  </si>
  <si>
    <t>JOURNAL OF BIOLOGICAL RHYTHMS</t>
  </si>
  <si>
    <t>sleep; shift work; melatonin; light; rhythm; watch keeping; crew</t>
  </si>
  <si>
    <t>RHYTHMS; MELATONIN; WORK; SHIFT; 6-SULFATOXYMELATONIN; HEALTH; SEA</t>
  </si>
  <si>
    <t>Numerous factors influence the increased health risks of seamen. This study investigated sleep (by actigraphy) and the adaptation of the internal clock in watch-keeping crew compared to day workers, as possible contributory factors. Fourteen watch keepers, 4 h on, 8 h off (0800-1200/2000-2400 h, 1200-1600/ 2400-0400 h, 1600-2000/0400-0800 h) (fixed schedule, n = 6; rotating by delay weekly, n = 8), and 12 day workers participated during a voyage from the United Kingdom to Antarctica. They kept daily sleep diaries and wore wrist monitors for continuous recording of activity. Sleep parameters were derived from activity using the manufacturer's software and analyzed by repeated-measures ANOVA using SAS 8.2. Sequential urine samples were collected for 48 h weekly for 6-sulphatoxymelatonin measurement as an index of circadian rhythm timing. Individuals working watches of 1200-1600/2400-0400 h and 1600-2000/0400-0800 h had 2 sleeps daily, analyzed separately as main sleep (longest) and 2nd sleep. Main sleep duration was shorter in watch keepers than in day workers (p &lt; 0.0001). Objective sleep quality was significantly compromised in rotaters compared to both day workers and fixed watch keepers, the most striking comparisons being sleep efficiency (percentage desired sleep time spent sleeping) main sleep (p &lt; 0.0001) and sleep fragmentation (an index of restlessness) main sleep (p &lt; 0.0001). The 2nd sleep was substantially less efficient than was the main sleep (p &lt; 0.0001) for all watch keepers. There were few significant differences in sleep between the different watches in rotating watch keepers. Circadian timing remained constant in day workers. Timing of the 6-sulphatoxymelatonin rhythm was later for the watch of 1200-1600/2400-0400 h than for all others (1200-1600/ 2400-0400 h, 5.90 +/- 0.85 h; 1600-2000/0400-0800 h, 1.5 +/- 0.64 h; 0800-1200/ 2000-2400 h, 2.72 +/- 0.76 h; days, 2.09 +/- 0.68 h [decimal hours, mean SEM]: ANOVA, p &lt; 0.01). This study identifies weekly changes in watch time as a cause of poor sleep in watch keepers. The most likely mechanism is the inability of the internal clock to adapt rapidly to abrupt changes in schedule.</t>
  </si>
  <si>
    <t>Univ Surrey, Sch Biomed &amp; Mol Sci, Ctr Chronobiol, Guildford GU2 7XH, Surrey, England; Univ Surrey, Dept Math &amp; Stat, Guildford GU2 5XH, Surrey, England; Derriford Hosp, British Antarctic Survey, Med Unit, Plymouth PL6 8DH, Devon, England</t>
  </si>
  <si>
    <t>University of Surrey; University of Surrey; UK Research &amp; Innovation (UKRI); Natural Environment Research Council (NERC); NERC British Antarctic Survey; Derriford Hospital</t>
  </si>
  <si>
    <t>Arendt, J (corresponding author), Univ Surrey, Sch Biomed &amp; Mol Sci, Ctr Chronobiol, Guildford GU2 7XH, Surrey, England.</t>
  </si>
  <si>
    <t>arendtjo@aol.com</t>
  </si>
  <si>
    <t>NERC [bas010013] Funding Source: UKRI; Natural Environment Research Council [bas010013] Funding Source: researchfish</t>
  </si>
  <si>
    <t>SAGE PUBLICATIONS INC</t>
  </si>
  <si>
    <t>THOUSAND OAKS</t>
  </si>
  <si>
    <t>2455 TELLER RD, THOUSAND OAKS, CA 91320 USA</t>
  </si>
  <si>
    <t>0748-7304</t>
  </si>
  <si>
    <t>J BIOL RHYTHM</t>
  </si>
  <si>
    <t>J. Biol. Rhythms</t>
  </si>
  <si>
    <t>10.1177/0748730405285278</t>
  </si>
  <si>
    <t>Biology; Physiology</t>
  </si>
  <si>
    <t>Life Sciences &amp; Biomedicine - Other Topics; Physiology</t>
  </si>
  <si>
    <t>044UU</t>
  </si>
  <si>
    <t>WOS:000237698900007</t>
  </si>
  <si>
    <t>Hurrell, JW; Hack, JJ; Phillips, AS; Caron, J; Yin, J</t>
  </si>
  <si>
    <t>Hurrell, James W.; Hack, James J.; Phillips, Adam S.; Caron, Julie; Yin, Jeffrey</t>
  </si>
  <si>
    <t>The dynamical simulation of the Community Atmosphere Model version 3 (CAM3)</t>
  </si>
  <si>
    <t>CLIMATE SYSTEM MODEL; CIRCULATION; HEMISPHERE; VARIABILITY; PATTERNS; PACIFIC; OCEAN</t>
  </si>
  <si>
    <t>The dynamical simulation of the latest version of the Community Atmosphere Model (CAM3) is examined, including the seasonal variation of its mean state and its interannual variability. An ensemble of integrations forced with observed monthly varying sea surface temperatures and sea ice concentrations is compared to coexisting observations. The most significant differences from the previous version of the model [Community Climate Model version 3 (CCM3)] are associated with changes to the parameterized physics package. Results show that these changes have resulted in a modest improvement in the overall simulated climate; however, CAM3 continues to share many of the same biases exhibited by CCM3. At sea level, CAM3 reproduces the basic observed patterns of the pressure field. Simulated surface pressures are higher than observed over the subtropics, however, an error consistent with an easterly bias in the simulated trade winds and low-latitude surface wind stress. The largest regional differences over the Northern Hemisphere (NH) occur where the simulated highs over the eastern Pacific and Atlantic Oceans are too strong during boreal winter, and erroneously low pressures at higher latitudes are most notable over Europe and Eurasia. Over the Southern Hemisphere (SH), the circumpolar Antarctic trough is too deep throughout the year. The zonal wind structure in CAM3 is close to that observed, although the middle-latitude westerlies are too strong in both hemispheres throughout the year, consistent with errors in the simulated pressure field and the transient momentum fluxes. The observed patterns and magnitudes of upper-level divergent outflow are also well simulated by CAM3, a finding consistent with an improved and overall realistic simulation of tropical precipitation. There is, however, a tendency for the tropical precipitation maxima to remain in the NH throughout the year, while precipitation tends to be less than indicated by satellite estimates along the equator. The CAM3 simulation of tropical intraseasonal variability is quite poor. In contrast, observed changes in tropical and subtropical precipitation and the atmospheric circulation changes associated with tropical interannual variability are well simulated. Similarly, principal modes of extratropical variability bear considerable resemblance to those observed, although biases in the mean state degrade the simulated structure of the leading mode of NH atmospheric variability.</t>
  </si>
  <si>
    <t>Natl Ctr Atmospher Res, Climate &amp; Global Dynam Div, Boulder, CO 80307 USA</t>
  </si>
  <si>
    <t>National Center Atmospheric Research (NCAR) - USA</t>
  </si>
  <si>
    <t>Hurrell, JW (corresponding author), Natl Ctr Atmospher Res, Climate &amp; Global Dynam Div, POB 3000, Boulder, CO 80307 USA.</t>
  </si>
  <si>
    <t>jhurrell@ucar.edu</t>
  </si>
  <si>
    <t>Hurrell, James Wilson/JVN-0949-2024</t>
  </si>
  <si>
    <t>Hurrell, James Wilson/0000-0002-3169-6384; Phillips, Adam/0000-0003-4859-8585</t>
  </si>
  <si>
    <t>10.1175/JCLI3762.1</t>
  </si>
  <si>
    <t>051FY</t>
  </si>
  <si>
    <t>WOS:000238148200004</t>
  </si>
  <si>
    <t>Hack, JJ; Caron, JM; Danabasoglu, G; Oleson, KW; Bitz, C; Truesdale, JE</t>
  </si>
  <si>
    <t>Hack, James J.; Caron, Julie M.; Danabasoglu, G.; Oleson, Keith W.; Bitz, Cecilia; Truesdale, John E.</t>
  </si>
  <si>
    <t>CCSM-CAM3 climate simulation sensitivity to changes in horizontal resolution</t>
  </si>
  <si>
    <t>ANTARCTIC CIRCUMPOLAR CURRENT; MODEL VERSION-3 CCSM3; SYSTEM MODEL; GLOBAL PRECIPITATION; TROPICAL PACIFIC; WATER-VAPOR; COMMUNITY; CLOUD; OCEAN; CIRCULATION</t>
  </si>
  <si>
    <t>The latest version of the Community Climate System Model (CCSM) Community Atmosphere Model version 3 (CAIN,13) has been released to allow for numerical integration at a variety of horizontal resolutions. One goal of the CAM3 design was to provide comparable large-scale simulation fidelity over a range of horizontal resolutions through modifications to adjustable coefficients in the parameterized treatment of clouds and precipitation. Coefficients are modified to provide similar cloud radiative forcing characteristics for each resolution. Simulations with the CAM3 show robust systematic improvements with higher horizontal resolution for a variety of features, most notably associated with the large-scale dynamical circulation. This paper will focus on simulation differences between the two principal configurations of the CAM3, which differ by a factor of 2 in their horizontal resolution.</t>
  </si>
  <si>
    <t>Natl Ctr Atmospher Res, Boulder, CO 80307 USA; Univ Washington, Seattle, WA 98195 USA</t>
  </si>
  <si>
    <t>National Center Atmospheric Research (NCAR) - USA; University of Washington; University of Washington Seattle</t>
  </si>
  <si>
    <t>Hack, JJ (corresponding author), Natl Ctr Atmospher Res, POB 3000, Boulder, CO 80307 USA.</t>
  </si>
  <si>
    <t>jhack@ncar.ucar.edu</t>
  </si>
  <si>
    <t>Bitz, Cecilia M/S-8423-2016; , Keith/A-9328-2008</t>
  </si>
  <si>
    <t>Danabasoglu, Gokhan/0000-0003-4676-2732; , Keith/0000-0002-0057-9900; Bitz, Cecilia/0000-0002-9477-7499</t>
  </si>
  <si>
    <t>10.1175/JCLI3764.1</t>
  </si>
  <si>
    <t>WOS:000238148200009</t>
  </si>
  <si>
    <t>Large, WG; Danabasoglu, G</t>
  </si>
  <si>
    <t>Large, W. G.; Danabasoglu, G.</t>
  </si>
  <si>
    <t>Attribution and impacts of upper-ocean biases in CCSM3</t>
  </si>
  <si>
    <t>CLIMATE SYSTEM MODEL; ANISOTROPIC HORIZONTAL VISCOSITY; ANTARCTIC CIRCUMPOLAR CURRENT; GENERAL-CIRCULATION MODELS; TROPICAL PACIFIC; SEA-ICE; WATER PROPERTIES; NUMERICAL-MODEL; FLORIDA CURRENT; VERSION-3 CAM3</t>
  </si>
  <si>
    <t>The largest and potentially most important ocean near-surface biases are examined in the Community Climate System Model coupled simulation of present-day conditions. They are attributed to problems in the component models of the ocean or atmosphere, or both. Tropical biases in sea surface salinity (SSS) are associated with precipitation errors, with the most striking being a band of excess rainfall across the South Pacific at about 8 degrees S. Cooler-than-observed equatorial Pacific sea surface temperature (SST) is necessary to control a potentially catastrophic positive feedback, involving precipitation along the equator. The strength of the wind-driven gyres and interbasin exchange is in reasonable agreement with observations, despite the generally too strong near-surface winds. However, the winds drive far too much transport through Drake Passage [&gt; 190 Sv (1 Sv = 10(6) m(3) s(-1))], but with little effect on SST and SSS. Problems with the width, separation. and location of western boundary currents and their extensions create large correlated SST and SSS biases in midlatitudes. Ocean model deficiencies are suspected because similar signals are seen in uncoupled ocean solutions, but there is no evidence of serious remote impacts. The seasonal cycles of SST and winds in the equatorial Pacific are not well represented. and numerical experiments suggest that these problems are initiated by the coupling of either or both wind components. The largest mean SST biases develop along the eastern boundaries of subtropical gyres, and the overall Coupled model response is found to be linear. In the South Atlantic, surface currents advect these biases across much of the tropical basin. Significant precipitation responses are found both in the northwest Indian Ocean, and locally where the net result is the loss of an identifiable Atlantic intertropical convergence zone, which can be regained by controlling the coastal temperatures and salinities. Biases Off South America and Baja California are shown to significantly degrade precipitation across the Pacific subsurface ocean properties on both sides of the equator, and the seasonal cycle of equatorial SST in the eastern Pacific. These signals extend beyond the reach of surface currents, so connections via the atmosphere and subsurface ocean are implicated. Other experimental results indicate that the local atmospheric forcing is only part of the problem along eastern boundaries, with the representation of ocean upwelling another likely contributor.</t>
  </si>
  <si>
    <t>Natl Ctr Atmospher Res, Boulder, CO 80307 USA</t>
  </si>
  <si>
    <t>Large, WG (corresponding author), Natl Ctr Atmospher Res, POB 3000, Boulder, CO 80307 USA.</t>
  </si>
  <si>
    <t>wily@ncar.ucar.edu</t>
  </si>
  <si>
    <t>Danabasoglu, Gokhan/0000-0003-4676-2732</t>
  </si>
  <si>
    <t>10.1175/JCLI3740.1</t>
  </si>
  <si>
    <t>WOS:000238148200012</t>
  </si>
  <si>
    <t>Otto-Bliesner, BL; Brady, EC; Clauzet, G; Tomas, R; Levis, S; Kothavala, Z</t>
  </si>
  <si>
    <t>Otto-Bliesner, Bette L.; Brady, Esther C.; Clauzet, Gabriel; Tomas, Robert; Levis, Samuel; Kothavala, Zav</t>
  </si>
  <si>
    <t>Last Glacial Maximum and Holocene climate in CCSM3</t>
  </si>
  <si>
    <t>ATLANTIC THERMOHALINE CIRCULATION; SEA-SURFACE CONDITIONS; ICE-AGE EARTH; NORTH-ATLANTIC; TROPICAL PACIFIC; SOUTHERN-OCEAN; EL-NINO; BOUNDARY-CONDITIONS; MODEL; RECONSTRUCTION</t>
  </si>
  <si>
    <t>The climate sensitivity of the Community Climate System Model version 3 (CCSM3) is studied for two past climate forcings, the Last Glacial Maximum (LGM) and the mid-Holocene. The LGM, approximately 21000 yr ago, is a glacial period with large changes in the greenhouse gases, sea level, and ice sheets. The mid-Holocene, approximately 6000 yr ago, occurred during the current interglacial with primary changes in the seasonal solar irradiance. The LGNI CCSM3 simulation has a global cooling of 4.5 degrees C compared to preindustrial (PI) conditions with amplification of this cooling at high latitudes and over the continental ice sheets present at LGM. Tropical sea surface temperature (SST) cools by 1.7 degrees C and tropical land temperature cools by 2.6 degrees C on average. Simulations with the CCSM3 slab ocean model suggest that about half of the global cooling is explained by the reduced LGM concentration of atmospheric CO2 (similar to 50% of present-day concentrations). There is an increase in the Antarctic Circumpolar Current and Antarctic Bottom Water formation, and with increased ocean stratification, somewhat weaker and much shallower North Atlantic Deep Water. The mid-Holocene CCSM3 simulation has a global, annual cooling of less than 0.1 degrees C compared to the PI simulation. Much larger and significant changes occur regionally and seasonally, including a more intense northern African summer monsoon, reduced Arctic sea ice in all months, and weaker ENSO variability.</t>
  </si>
  <si>
    <t>CCR CGD, Natl Ctr Atmospher Res, Boulder, CO 80307 USA; Univ Sao Paulo, Dept Phys Oceanog, Sao Paulo, Brazil; Natl Ctr Atmospher Res, Boulder, CO USA</t>
  </si>
  <si>
    <t>National Center Atmospheric Research (NCAR) - USA; Universidade de Sao Paulo; National Center Atmospheric Research (NCAR) - USA</t>
  </si>
  <si>
    <t>Otto-Bliesner, BL (corresponding author), CCR CGD, Natl Ctr Atmospher Res, POB 3000, Boulder, CO 80307 USA.</t>
  </si>
  <si>
    <t>ottobli@ucar.edu</t>
  </si>
  <si>
    <t>Otto-Bliesner, Bette/AAY-7691-2020</t>
  </si>
  <si>
    <t>Kothavala, Zavareh/0000-0002-4399-1970</t>
  </si>
  <si>
    <t>10.1175/JCLI3748.1</t>
  </si>
  <si>
    <t>WOS:000238148200022</t>
  </si>
  <si>
    <t>Yeager, SG; Shields, CA; Large, WG; Hack, JJ</t>
  </si>
  <si>
    <t>Yeager, Stephen G.; Shields, Christine A.; Large, William G.; Hack, James J.</t>
  </si>
  <si>
    <t>The low-resolution CCSM3</t>
  </si>
  <si>
    <t>CLIMATE SYSTEM MODEL; ANTARCTIC CIRCUMPOLAR CURRENT; TROPICAL PACIFIC; WATER PROPERTIES; NATIONAL CENTER; COMMUNITY; CIRCULATION; SENSITIVITY; SIMULATION; TRANSPORT</t>
  </si>
  <si>
    <t>The low-resolution fully coupled configuration of the Community Climate System Model version 3 (CCSM13) is described and evaluated. In this most economical configuration, an ocean at nominal 3 degrees resolution is coupled to an atmosphere model at T31 resolution. There are climate biases associated with the relatively coarse grids, yet the coupled solution remains comparable to higher-resolution CCSM3 results. There are marked improvements in the new solution compared to the low-resolution configuration of CCSM2. In particular, the CCSM3 simulation maintains a robust meridional overturning circulation in the ocean. and it generates more realistic El Nino variability. The improved ocean solution was achieved with no increase in computational cost by redistributing deep ocean and midlatitude resolution into the upper ocean and the key water formation regions of the North Atlantic, respectively. Given its significantly lower resource demands compared to higher resolutions, this configuration shows promise for studies of paleoclimate and other applications requiring long. equilibrated solutions.</t>
  </si>
  <si>
    <t>Natl Ctr Atmospher Res, Boulder, CO USA</t>
  </si>
  <si>
    <t>Yeager, SG (corresponding author), Natl Ctr Atmospher Res, POB 3000, Boulder, CO USA.</t>
  </si>
  <si>
    <t>yeager@ucar.edu</t>
  </si>
  <si>
    <t>Shields, Christine A./0000-0003-4481-1377</t>
  </si>
  <si>
    <t>10.1175/JCLI3744.1</t>
  </si>
  <si>
    <t>WOS:000238148200023</t>
  </si>
  <si>
    <t>Otto-Bliesner, BL; Tomas, R; Brady, EC; Ammann, C; Kothavala, Z; Clauzet, G</t>
  </si>
  <si>
    <t>Otto-Bliesner, Bette L.; Tomas, Robert; Brady, Esther C.; Ammann, Caspar; Kothavala, Zav; Clauzet, Gabriel</t>
  </si>
  <si>
    <t>Climate sensitivity of moderate- and low-resolution versions of CCSM3 to preindustrial forcings</t>
  </si>
  <si>
    <t>SEA-SURFACE TEMPERATURE; TROPICAL PACIFIC; NATIONAL CENTER; VARIABILITY; OSCILLATION; MODEL; TRANSPORT</t>
  </si>
  <si>
    <t>Preindustrial (PI) Simulations of the Community Climate System Model version 3 (CCSM3) at two resolutions. a moderate and a low resolution, are described and compared to the standard controls for present-day (PD) simulations. Because of computational efficiency, the moderate- and low-resolution versions of CCSM3 may be appropriate for climate change studies requiring simulations of the order of hundreds to thousands of years. The PI simulations provide the basis for comparison for proxy records that represent average late Holocene conditions. When forced with PI trace gases. aerosols, and solar irradiance estimates, both resolutions have a global cooling of 1.2 degrees-1.3 degrees C. increased sea ice in both hemispheres, and less precipitation near the equator and at midlatitudes as compared to simulations using PD forcing. The response to PI forcings differs in the two resolutions for North Atlantic meridional overturning circulation (MOC), the Antarctic Circumpolar Current (ACC), and ENSO. The moderate-resolution CCSM3 has enhanced ACC, North Atlantic MOC, and tropical Pacific ENSO variability for PI forcings as compared to PD. The low-resolution CCSM3 with more extensive sea ice and colder climate at high northern latitudes in the PD simulation shows less sensitivity of the North Atlantic MOC to PT forcing. ENSO variability and the strength of the ACC do not increase with PI forcing in the low-resolution CCSM3.</t>
  </si>
  <si>
    <t>CCR CGD, Natl Ctr Atmospher Res, Boulder, CO 80307 USA; Univ Sao Paulo, Dept Phys Oceanog, Sao Paulo, Brazil</t>
  </si>
  <si>
    <t>National Center Atmospheric Research (NCAR) - USA; Universidade de Sao Paulo</t>
  </si>
  <si>
    <t>Otto-Bliesner, Bette/AAY-7691-2020; Ammann, Caspar M/A-4899-2011</t>
  </si>
  <si>
    <t>10.1175/JCLI3754.1</t>
  </si>
  <si>
    <t>WOS:000238148200024</t>
  </si>
  <si>
    <t>Bonadonna, F; Caro, SP; Jouventin, P; Nevitt, GA</t>
  </si>
  <si>
    <t>Bonadonna, F.; Caro, S. P.; Jouventin, P.; Nevitt, G. A.</t>
  </si>
  <si>
    <t>Evidence that blue petrel, Halobaena caerulea, fledglings can detect and orient to dimethyl sulfide</t>
  </si>
  <si>
    <t>JOURNAL OF EXPERIMENTAL BIOLOGY</t>
  </si>
  <si>
    <t>Procellariiform seabird; dimethyl sulphide; orientation; Antarctic; petrel; Halobaena caerulea; olfaction</t>
  </si>
  <si>
    <t>SENSITIVITY; SEABIRDS</t>
  </si>
  <si>
    <t>Procellariiform seabirds (the petrels, albatrosses and shearwaters) are recognized for their acute sense of smell. These pelagic seabirds forage over thousands of miles of ocean to find patchily distributed prey resources. Over the past decade, much headway has been made in unravelling the variety of olfactory foraging strategies that Antarctic species employ, and it is becoming clearer that olfaction plays a key role in foraging, particularly for burrow nesting species. Now we are beginning to explore how these behaviours develop in chicks. Procellariiform chicks fledge and survive the open seas without aid or instruction from a parent, but how they are able to accomplish this task is unknown. Here we explore whether chicks leave the nest pre-tuned to olfactory cues necessary for foraging. In this study, we tested the hypothesis that blue petrel chicks (Halobaena caerulea) are able to detect and orient to a foraging cue ( dimethyl sulphide, DMS) used by adults without ever having experienced this odour at sea. We first established that chicks could detect DMS at a biologically relevant concentration that they will later naturally encounter at sea (&lt; 10 pmol l(-1)). We then performed preference tests in a Y-maze on a group of birds 1-6 days before they fledged. Sixteen out of 20 fledglings preferred DMS (e.g. DMS+propylene glycol) to a 'control' odour (propylene glycol alone). Our results suggest that chicks can detect and may already recognize DMS as an orientation cue even before they leave the nest to forage for the first time.</t>
  </si>
  <si>
    <t>CEFE, CNRS, Behav Ecol Grp, F-34293 Montpellier 5, France; Univ Calif Davis, Sect Neurobiol Physiol &amp; Behav, Ctr Anim Behav, Davis, CA 95616 USA</t>
  </si>
  <si>
    <t>Universite PSL; Ecole Pratique des Hautes Etudes (EPHE); Institut Agro; Montpellier SupAgro; CIRAD; Centre National de la Recherche Scientifique (CNRS); Institut de Recherche pour le Developpement (IRD); Universite Paul-Valery; Universite de Montpellier; University of California System; University of California Davis</t>
  </si>
  <si>
    <t>Bonadonna, F (corresponding author), CEFE, CNRS, Behav Ecol Grp, 1919 Route Mende, F-34293 Montpellier 5, France.</t>
  </si>
  <si>
    <t>francesco.bonadonna@cefe.cnrs.fr</t>
  </si>
  <si>
    <t>Bonadonna, Francesco/A-7456-2008; Caro, Samuel/A-5750-2008</t>
  </si>
  <si>
    <t>Bonadonna, Francesco/0000-0002-2702-5801; Caro, Samuel/0000-0002-5405-7753</t>
  </si>
  <si>
    <t>COMPANY BIOLOGISTS LTD</t>
  </si>
  <si>
    <t>CAMBRIDGE</t>
  </si>
  <si>
    <t>BIDDER BUILDING, STATION RD, HISTON, CAMBRIDGE CB24 9LF, ENGLAND</t>
  </si>
  <si>
    <t>0022-0949</t>
  </si>
  <si>
    <t>1477-9145</t>
  </si>
  <si>
    <t>J EXP BIOL</t>
  </si>
  <si>
    <t>J. Exp. Biol.</t>
  </si>
  <si>
    <t>10.1242/jeb.02252</t>
  </si>
  <si>
    <t>Biology</t>
  </si>
  <si>
    <t>Life Sciences &amp; Biomedicine - Other Topics</t>
  </si>
  <si>
    <t>044AF</t>
  </si>
  <si>
    <t>WOS:000237643700024</t>
  </si>
  <si>
    <t>Pakhomov, EA; Bushula, T; Kaehler, S; Watkins, BP; Leslie, RW</t>
  </si>
  <si>
    <t>Structure and distribution of the slope fish community in the vicinity of the sub-Antarctic Prince Edward Archipelago</t>
  </si>
  <si>
    <t>JOURNAL OF FISH BIOLOGY</t>
  </si>
  <si>
    <t>community; demersal fishes; feeding; stable isotopes; sub-Antarctic</t>
  </si>
  <si>
    <t>TOOTHFISH DISSOSTICHUS-ELEGINOIDES; DEEP-SEA FISHES; PATAGONIAN TOOTHFISH; SOUTHERN-OCEAN; FOOD-WEB; NORTHEASTERN ATLANTIC; BENTHOPELAGIC FISH; CONTINENTAL-SHELF; MACQUARIE ISLAND; MACROURID FISHES</t>
  </si>
  <si>
    <t>Demersal fish community structure, distribution and trophic relationships on the slope (depth range 200-1500 m) of the sub-Antarctic Prince Edward Islands and surrounding sea rises were investigated during a pilot survey conducted in April 2001 onboard fishing vessel MV Iris. A total of 56 fish taxa were collected during the survey, of which 44 were identified to the species level, seven to the genus level and five to the family level. Among the identified taxa, 36 constituted new records for the area investigated. Total catch per unit effort (cpue) during the survey ranged from 1.1 to 241.2 individuals h(-1). Both average fish diversity and total cpue positively correlated with trawling depth. Overall, mean sampling depth and near-bottom temperature explained 56% of total fish cpue. Hierarchal cluster analysis identified three distinct fish assemblages with pronounced dominant species. Major shifts in fish community composition occurred at 500-600 m and 800-900 m depth strata and could probably be a result of physical and biological vertical zonation. Analysis of the diet of selected fish species showed that they were generalist feeders, consuming predominantly pelagic, including epipelagic, meso- and benthopelagic, prey. Diets of six species and nitrogen stable isotope signatures of 22 species revealed that with a few exceptions most fishes occupied the fourth trophic level and were tertiary consumers. Wide variability in carbon isotopic signatures is discussed with respect to alternative, e.g. possible importance of high Antarctic and chemoautotrophic v. photoautotrophic sub-Antarctic primary production, organic matter sources at the base of deep-sea food webs. (c) 2006 The Authors Journal compilation (c) 2006 The Fisheries Society of the British Isles.</t>
  </si>
  <si>
    <t>Univ British Columbia, Dept Earth &amp; Ocean Sci, Vancouver, BC V6T 1Z4, Canada; Univ Ft Hare, Fac Sci &amp; Technol, Dept Zool, ZA-5700 Alice, South Africa; Rhodes Univ, Dept Zool &amp; Entomol, Coastal Res Grp, ZA-6140 Grahamstown, South Africa; Maine &amp; Coastal Management, ZA-8012 Cape Town, South Africa</t>
  </si>
  <si>
    <t>University of British Columbia; University of Fort Hare; Rhodes University</t>
  </si>
  <si>
    <t>Pakhomov, EA (corresponding author), Univ British Columbia, Dept Earth &amp; Ocean Sci, 6339 Stores Rd, Vancouver, BC V6T 1Z4, Canada.</t>
  </si>
  <si>
    <t>epakhomov@eos.ubc.ca</t>
  </si>
  <si>
    <t>Leslie, Rob/0000-0003-2693-3469</t>
  </si>
  <si>
    <t>0022-1112</t>
  </si>
  <si>
    <t>J FISH BIOL</t>
  </si>
  <si>
    <t>J. Fish Biol.</t>
  </si>
  <si>
    <t>10.1111/j.1095-8649.2006.01076.x</t>
  </si>
  <si>
    <t>058FY</t>
  </si>
  <si>
    <t>WOS:000238652100016</t>
  </si>
  <si>
    <t>Yoshiki, T; Toda, T; Yoshida, T; Shimizu, A</t>
  </si>
  <si>
    <t>A new hydrostatic pressure apparatus for studies of marine zooplankton</t>
  </si>
  <si>
    <t>JOURNAL OF PLANKTON RESEARCH</t>
  </si>
  <si>
    <t>COPEPOD CALANUS-SINICUS; DIEL VERTICAL MIGRATION; EUPHAUSIA-SUPERBA; INLAND-SEA; ANTARCTIC KRILL; SHALLOW-WATER; TEMPERATURE; JAPAN; EGGS; DECOMPRESSION</t>
  </si>
  <si>
    <t>A new design of hydrostatic pressure apparatus for studying marine zooplankton is described. Zooplankton occur throughout the water column. and are exposed to a range of hydrostatic pressures throughout their lifetime. The hydrostatic pressure apparatus developed in this study makes it possible to (i) increase pressure gradually from 1 to 200 atm, (ii) prevent corrosion of the pressure chamber by introducing a specimen holder that separates the pressure chamber from the surrounding seawater, and (iii) observe a wide size range of zooplankton. including eggs (100-10 000 mu m size range). The new apparatus is useful for the study of mesozooplankton throughout their life history from egg to adult. The effects of hydrostatic pressure on the eggs of the calanoid copepod, Calanus sinicus, were examined using the new hydrostatic pressure apparatus. Hydrostatic pressure did not affect C. sinicus egg development time, but egg-hatching success decreased significantly, with increasing pressure. Most of the nauplii that hatched under high-pressure conditions (101, 501, and 100 atm) were deformed. Eggs of C. sinicus did tolerate pressures of 10 atm. This implies that eggs would not survive if they did not hatch within the upper 100 m.</t>
  </si>
  <si>
    <t>Soka Univ, Fac Engn, Dept Ecol Engn Symbiosis, Hachioji, Tokyo 1928577, Japan</t>
  </si>
  <si>
    <t>Soka University</t>
  </si>
  <si>
    <t>Yoshiki, T (corresponding author), Soka Univ, Fac Engn, Dept Ecol Engn Symbiosis, Hachioji, Tokyo 1928577, Japan.</t>
  </si>
  <si>
    <t>tyoshiki@soka.ac.jp</t>
  </si>
  <si>
    <t>Yoshida, Teruaki/J-6297-2019; Yoshida, Teruaki/I-6496-2016</t>
  </si>
  <si>
    <t>Yoshida, Teruaki/0000-0003-2751-2260; Shimizu, Akio/0000-0002-0672-2042; Toda, Tatsuki/0000-0001-9279-030X</t>
  </si>
  <si>
    <t>0142-7873</t>
  </si>
  <si>
    <t>J PLANKTON RES</t>
  </si>
  <si>
    <t>J. Plankton Res.</t>
  </si>
  <si>
    <t>10.1093/plankt/fbi141</t>
  </si>
  <si>
    <t>059YT</t>
  </si>
  <si>
    <t>WOS:000238768800004</t>
  </si>
  <si>
    <t>Wilchinsky, AV; Feltham, DL</t>
  </si>
  <si>
    <t>Anisotropic model for granulated sea ice dynamics</t>
  </si>
  <si>
    <t>JOURNAL OF THE MECHANICS AND PHYSICS OF SOLIDS</t>
  </si>
  <si>
    <t>granulated; anisotropic; plastic; sea ice</t>
  </si>
  <si>
    <t>THICKNESS DISTRIBUTION; PACK ICE; RHEOLOGY; FLOW; DEFORMATION; MECHANICS; FAILURE; LAW</t>
  </si>
  <si>
    <t>A continuum model describing sea ice as a layer of granulated thick ice, consisting of many rigid, brittle floes, intersected by long and narrow regions of thinner ice, known as leads, is developed. We consider the evolution of mesoscale leads, formed under extension, whose lengths span many floes, so that the surrounding ice is treated as a granular plastic. The leads are sufficiently small with respect to basin scales of sea ice deformation that they may be modelled using a continuum approach. The model includes evolution equations for the orientational distribution of leads, their thickness and width expressed through second-rank tensors and terms requiring closures. The closing assumptions are constructed for the case of negligibly small lead ice thickness and the canonical deformation types of pure and simple shear, pure divergence and pure convergence. We present a new continuum-scale sea ice rheology that depends upon the isotropic, material rheology of sea ice, the orientational distribution of lead properties and the thick ice thickness. A new model of lead and thick ice interaction is presented that successfully describes a number of effects: (i) because of its brittle nature, thick ice does not thin under extension and (ii) the consideration of the thick sea ice as a granular material determines finite lead opening under pure shear, when granular dilation is unimportant. (c) 2006 Elsevier Ltd. All rights reserved.</t>
  </si>
  <si>
    <t>UCL, Dept Space &amp; Climate Phys, London WC1E 6BT, England; Kazan VI Lenin State Univ, Inst Math &amp; Mech, Kazan 420008, Russia; British Antarctic Survey, Cambridge CB3 0ET, England</t>
  </si>
  <si>
    <t>University of London; University College London; Kazan Federal University; UK Research &amp; Innovation (UKRI); Natural Environment Research Council (NERC); NERC British Antarctic Survey</t>
  </si>
  <si>
    <t>UCL, Dept Space &amp; Climate Phys, Mortimer St, London WC1E 6BT, England.</t>
  </si>
  <si>
    <t>aw@cpom.ucl.ac.uk</t>
  </si>
  <si>
    <t>Feltham, Daniel/0000-0003-2289-014X</t>
  </si>
  <si>
    <t>0022-5096</t>
  </si>
  <si>
    <t>1873-4782</t>
  </si>
  <si>
    <t>J MECH PHYS SOLIDS</t>
  </si>
  <si>
    <t>J. Mech. Phys. Solids</t>
  </si>
  <si>
    <t>10.1016/j.jmps.2005.12.006</t>
  </si>
  <si>
    <t>Materials Science, Multidisciplinary; Mechanics; Physics, Condensed Matter</t>
  </si>
  <si>
    <t>Materials Science; Mechanics; Physics</t>
  </si>
  <si>
    <t>037PU</t>
  </si>
  <si>
    <t>WOS:000237160000003</t>
  </si>
  <si>
    <t>Inatsu, M; Hoskins, BJ</t>
  </si>
  <si>
    <t>Inatsu, Masaru; Hoskins, Brian J.</t>
  </si>
  <si>
    <t>The seasonal and wintertime interannual variability of the split jet and the storm-track activity minimum near New Zealand</t>
  </si>
  <si>
    <t>JOURNAL OF THE METEOROLOGICAL SOCIETY OF JAPAN</t>
  </si>
  <si>
    <t>ENSO-RELATED VARIABILITY; SOUTHERN-HEMISPHERE; STATIONARY; PACIFIC; PROPAGATION; GENERATION; BLOCKING; FLOW; GCM</t>
  </si>
  <si>
    <t>The seasonal and wintertime interannual variability of the split jet and the storm-track activity minimum near New Zealand (NZ) have been examined based upon the European Centre for Medium Range Weather Forecast Reanalysis (ERA-40) 1979-2001 daily data. Using the split jet index defined in this paper, the climatological variation in the split jet is closely related to the storm-track activity minimum. In austral winter, the split jet is located near NZ along with the storm-track activity minimum, which is established by the climatological Rossby wave forced by the cross-equatorial flow in the Indian Ocean. In austral spring and autumn, in contrast, both the NZ split jet and the storm-track activity minimum are less clear in the absence of the Rossby wave, because of the near-zero Indian Ocean cross-equatorial flow. However, interannual variation in the wintertime Indian Ocean cross-equatorial flow is only weakly associated with interannual variability in the split jet, the correlation being 0.14. The interannual. variation in the cross-equatorial flow further east, in the Indonesian region, shows a higher correlation of 0.29. The middle and higher latitude components of the split jet structure are more strongly related to the zonally asymmetric part of the Antarctic Oscillation. An index for this has a 0.43 correlation on interannual time scales with the split jet index. Other processes must also be important for the interannual variability of the split jet and storm-track activity minimum in the NZ region. It is hypothesized that blocking in that region may be of particular importance.</t>
  </si>
  <si>
    <t>Univ Tokyo, Ctr Climate Syst Res, Kashiwa, Chiba 2778568, Japan; Univ Reading, Dept Meteorol, Reading RG6 2AH, Berks, England</t>
  </si>
  <si>
    <t>University of Tokyo; University of Reading</t>
  </si>
  <si>
    <t>Inatsu, M (corresponding author), Univ Tokyo, Ctr Climate Syst Res, Gen Res Bilg,5-1-5 Kashiwanoha, Kashiwa, Chiba 2778568, Japan.</t>
  </si>
  <si>
    <t>inaz@ccsr.u-tokyo.ac.jp</t>
  </si>
  <si>
    <t>Inatsu, Masaru/AAU-5477-2020; Inatsu, Masaru/A-4239-2012</t>
  </si>
  <si>
    <t>METEOROLOGICAL SOC JAPAN</t>
  </si>
  <si>
    <t>C/O JAPAN METEOROLOGICAL AGENCY 1-3-4 OTE-MACHI, CHIYODA-KU, TOKYO, 100-0004, JAPAN</t>
  </si>
  <si>
    <t>0026-1165</t>
  </si>
  <si>
    <t>2186-9057</t>
  </si>
  <si>
    <t>J METEOROL SOC JPN</t>
  </si>
  <si>
    <t>J. Meteorol. Soc. Jpn.</t>
  </si>
  <si>
    <t>10.2151/jmsj.84.433</t>
  </si>
  <si>
    <t>072JN</t>
  </si>
  <si>
    <t>WOS:000239669800001</t>
  </si>
  <si>
    <t>Chilvers, BL; Wilkinson, IS; Duignan, PJ; Gemmell, NJ</t>
  </si>
  <si>
    <t>Chilvers, B. L.; Wilkinson, I. S.; Duignan, P. J.; Gemmell, N. J.</t>
  </si>
  <si>
    <t>Diving to extremes:: are New Zealand sea lions (Phocarctos hookeri) pushing their limits in a marginal habitat?</t>
  </si>
  <si>
    <t>New Zealand sea lions; Phocarctos hookeri; pinnipeds; diving behaviour; aerobic dive limits</t>
  </si>
  <si>
    <t>ANTARCTIC FUR SEALS; AEROBIC DIVE LIMIT; FORAGING ENERGETICS; ATTENDANCE PATTERNS; MATERNAL-CARE; BEHAVIOR; FEMALE; PINNIPEDS; BLOOD</t>
  </si>
  <si>
    <t>When studying diving behaviour, it is important to know whether a species is operating at or close to its maximum physiological capacity, because if it is, it will be less capable of compensating for normal environmental or human-induced fluctuations in its environment. New Zealand (NZ) sea lions Phocarctos hookeri are among the world's rarest pinnipeds with a restricted distribution and abundance to the most southerly limit of their known range, NZ's sub-Antarctic. Female NZ sea lions are the deepest and longest diving of the otariids, foraging further from their breeding rookeries than any other sea lion. In this study, the diving behaviours of 18 female NZ sea lions from Enderby Island, Auckland Islands, were recorded during early lactation over two austral summers, 2003 and 2004. While at sea, sea lions dived almost continuously, spending on average 52.7% of their time submerged (&gt; 6 m). The mean dive depth (+/- SE) for all dives was 129.5 +/- 5.3 m (range 94.6 +/- 1.1 to 178.9 +/- 1.6 m). The mean duration of dives was 4.0 +/- 0.1 min with an average of 40 +/- 2.9% of all dive times spent in the deepest 85% of the dive. Although there was high variation in diving behaviour among individuals, overall, animals were found to be diving beyond their estimated aerobic dive limits on 68% of all dives. Given that female NZ sea lions have a high percentage of dives that are beyond their theoretical aerobic limits, we ask whether this represents a miscalculation in aerobic limits, is it a species highly adapted to carry an anaerobic load or a species that is physically stretched to their limits? A species that is presumably under physiological stress just to maintain its current low static population numbers is also likely to be more susceptible to external impacts and this needs consideration for their management.</t>
  </si>
  <si>
    <t>Sci &amp; Res, Dept Conservat, Wellington, New Zealand; Massey Univ, IVABS, New Zealand Wildlife Hlth Ctr, Palmerston North, New Zealand; Univ Canterbury, Sch Biol Sci, Christchurch 1, New Zealand</t>
  </si>
  <si>
    <t>Massey University; University of Canterbury</t>
  </si>
  <si>
    <t>Chilvers, BL (corresponding author), Sci &amp; Res, Dept Conservat, POB 10-420, Wellington, New Zealand.</t>
  </si>
  <si>
    <t>lchilvers@doc.govt.nz</t>
  </si>
  <si>
    <t>Chilvers, B. Louise/AAV-1965-2021; Wilkinson, Ian S/ABG-2772-2020; Wilkinson, Ian/F-2291-2010; Gemmell, Neil/C-6774-2009</t>
  </si>
  <si>
    <t>Chilvers, B. Louise/0000-0002-7657-4217; Gemmell, Neil/0000-0003-0671-3637</t>
  </si>
  <si>
    <t>10.1111/j.1469-7998.2006.00059.x</t>
  </si>
  <si>
    <t>043XP</t>
  </si>
  <si>
    <t>WOS:000237636500011</t>
  </si>
  <si>
    <t>Pakhomov, EA; Dubischar, CD; Strass, V; Brichta, M; Bathmann, UV</t>
  </si>
  <si>
    <t>Pakhomov, E. A.; Dubischar, C. D.; Strass, V.; Brichta, M.; Bathmann, U. V.</t>
  </si>
  <si>
    <t>The tunicate Salpa thompsoni ecology in the Southern Ocean.: I.: Distribution, biomass, demography and feeding ecophysiology</t>
  </si>
  <si>
    <t>EASTERN ATLANTIC SECTOR; SEA-ICE EXTENT; AUSTRAL SUMMER; ANTARCTIC PENINSULA; PARTICULATE MATTER; WEDDELL SEA; SALP/KRILL INTERACTIONS; COMMUNITY STRUCTURE; GRAZING IMPACT; ZOOPLANKTON</t>
  </si>
  <si>
    <t>Distribution, density, and feeding dynamics of the pelagic tunicate Salpa thompsoni have been investigated during the expedition ANTARKTIS XVIII/5b to the Eastern Bellingshausen Sea on board RV Polarstern in April 2001. This expedition was the German contribution to the field campaign of the Southern Ocean Global Ocean Ecosystems Dynamics Study (SO-GLOBEC). Salps were found at 31% of all RMT-8 and Bongo stations. Their densities in the RMT-8 samples were low and did not exceed 4.8 ind m(-2) and 7.4 mg C m(-2). However, maximum salp densities sampled with the Bongo net reached 56 ind m(-2) and 341 mg C m(-2). A bimodal salp length frequency distribution was recorded over the shelf, and suggested two recent budding events. This was also confirmed by the developmental stage composition of solitary forms. Ingestion rates of aggregate forms increased from 2.8 to 13.9 mu g (pig) ind(-1) day(-1) or from 0.25 to 2.38 mg C ind(-1) day(-1) in salps from 10 to 40 mm oral-atrial length, accounting for 25-75% of body carbon per day. Faecal pellet production rates were on average 0.08 pellet ind(-1) h(-1) with a pronounced diel pattern. Daily individual egestion rates in 13 and 30 mm aggregates ranged from 0.6 to 4.8 mu g (pig) day(-1) or from 164 to 239 mu g C day(-1). Assimilation efficiency ranged from 73 to 90% and from 65 to 76% in 13 and 30 mm aggregates, respectively. S. thompsoni exhibited similar ingestion and egestion rates previously estimated for low Antarctic (similar to 50 degrees S) habitats. It has been suggested that the salp population was able to develop in the Eastern Bellingshausen Sea due to an intrusion into the area of the warm Upper Circumpolar Deep Water</t>
  </si>
  <si>
    <t>Univ British Columbia, Dept Earth &amp; Ocean Sci, Vancouver, BC V6T 1Z4, Canada; Alfred Wegener Inst Polar &amp; Marine Res, D-27515 Bremerhaven, Germany; Univ Ft Hare, Dept Zool, ZA-5700 Alice, South Africa</t>
  </si>
  <si>
    <t>University of British Columbia; Helmholtz Association; Alfred Wegener Institute, Helmholtz Centre for Polar &amp; Marine Research; University of Fort Hare</t>
  </si>
  <si>
    <t>Strass, Volker/0000-0002-7539-1400</t>
  </si>
  <si>
    <t>10.1007/s00227-005-0225-9</t>
  </si>
  <si>
    <t>053TD</t>
  </si>
  <si>
    <t>WOS:000238327200018</t>
  </si>
  <si>
    <t>Dubischar, CD; Pakhomov, EA; Bathmann, UV</t>
  </si>
  <si>
    <t>Dubischar, Corinna D.; Pakhomov, E. A.; Bathmann, U. V.</t>
  </si>
  <si>
    <t>The tunicate Salpa thompsoni ecology in the Southern Ocean.: II.: Proximate and elemental composition</t>
  </si>
  <si>
    <t>ANTARCTIC ZOOPLANKTON; AUSTRAL SUMMER; GELATINOUS ZOOPLANKTON; CHEMICAL-COMPOSITION; ATLANTIC SECTOR; GRAZING IMPACT; CARBON FLUX; THALIACEA; KRILL; PENINSULA</t>
  </si>
  <si>
    <t>Detailed determination of Salpa thompsoni elemental composition has been carried out on specimens collected in the Eastern Bellingshausen Sea and at the northern edge of the Weddell Gyre during austral autumn (April and May) of 1996 and 2001. More than 170 Antarctic tunicates S. thompsoni were analysed to determine wet weight (WW), dry weight (DW), ash-free dry weight (AFDW) and elemental composition (C, N content, proteins, carbohydrates and lipids) of different sizes and stages. Dry weight comprised 6.4% (aggregate form) to 7.7% (solitary form) of the WW. AFDW amounted to similar to 44% of the DW. Carbon and nitrogen contents (Carbon: 17-22%, Nitrogen: 3-5% of the DW) of both aggregate and solitary forms were found to be high relative to data reported in the literature. Although some unidentified organic compounds are not included in our carbon budget, the findings of this study show higher than previously reported nutritional values of S. thompsoni. In spite of this, a shift from a krill-dominated towards a salp-dominated ecosystem would have dramatic consequences for organisms at higher trophic levels.</t>
  </si>
  <si>
    <t>Alfred Wegener Inst Polar &amp; Marine Res, Bremerhaven, Germany; Univ British Columbia, Dept Earth &amp; Ocean Sci, Vancouver, BC V6T 1Z4, Canada; Univ Ft Hare, Fac Sci &amp; Technol, Dept Zool, ZA-5700 Alice, South Africa</t>
  </si>
  <si>
    <t>Helmholtz Association; Alfred Wegener Institute, Helmholtz Centre for Polar &amp; Marine Research; University of British Columbia; University of Fort Hare</t>
  </si>
  <si>
    <t>Dubischar, CD (corresponding author), Alfred Wegener Inst Polar &amp; Marine Res, Bremerhaven, Germany.</t>
  </si>
  <si>
    <t>cdubischar@awi-bremerhaven.de</t>
  </si>
  <si>
    <t>10.1007/s00227-005-0226-8</t>
  </si>
  <si>
    <t>WOS:000238327200019</t>
  </si>
  <si>
    <t>Maldonado, A; Bohoyo, F; Galindo-Zaldívar, J; Hernández-Molina, J; Jabaloy, A; Lobo, FJ; Rodríguez-Fernández, J; Suriñach, E; Vázquez, JT</t>
  </si>
  <si>
    <t>Maldonado, A.; Bohoyo, F.; Galindo-Zaldivar, J.; Hernandez-Molina, J.; Jabaloy, A.; Lobo, F. J.; Rodriguez-Fernandez, J.; Surinach, E.; Vazquez, J. T.</t>
  </si>
  <si>
    <t>Ocean basins near the Scotia-Antarctic plate boundary:: Influence of tectonics and paleoceanography on the Cenozoic deposits</t>
  </si>
  <si>
    <t>MARINE GEOPHYSICAL RESEARCH</t>
  </si>
  <si>
    <t>ocean basin development; seismic stratigraphy; contourite drifts; Antarctic palaeoceanography; Antarctic Circumpolar Current; Weddell Gyre</t>
  </si>
  <si>
    <t>SHACKLETON FRACTURE-ZONE; DEEP-CRUSTAL STRUCTURE; NORTHERN WEDDELL SEA; POWELL BASIN; DRAKE PASSAGE; SEISMIC STRATIGRAPHY; MANTLE FLOW; RIDGE; EVOLUTION; INTERSECTION</t>
  </si>
  <si>
    <t>The distribution of seismic units in deposits of the basins near the Antarctic-Scotia plate boundary is described based on the analysis of multichannel seismic reflection profiles. Five main seismic units are identified. The units are bounded by high-amplitude continuous reflectors, named a to d from top to bottom. The two older units are of different age and seismic facies in each basin and were generally deposited during active rifting and seafloor spreading. The three youngest units (3 to 1) exhibit, in contrast, rather similar seismic facies and can be correlated at a regional scale. The deposits are types of contourite drift that resulted from the interplay between the northeastward flow of Weddell Sea Bottom Water (WSBW) and the complex bathymetry in the northern Weddell Sea, and from the influence of the Antarctic Circumpolar Current and the WSBW in the Scotia Sea. A major paleoceanographic event was recorded by Reflector c, during the Middle Miocene, which represents the connection between the Scotia Sea and the Weddell Sea after the opening of Jane Basin. Unit 3 (tentatively dated similar to Middle to Late Miocene) shows the initial incursions of the WSBW into the Scotia Sea, which influenced a northward progradational pattern, in contrast to the underlying deposits. The age attributed to Reflector b is coincident with the end of spreading at the West Scotia Ridge (similar to 6.4 Ma). Unit 2 (dated similar to Late Miocene to Early Pliocene) includes abundant high-energy, sheeted deposits in the northern Weddell Sea, which may reflect a higher production of WSBW as a result of the advance of the West Antarctic ice-sheet onto the continental shelf. Reflector a represents the last major regional paleoceanographic change. The timing of this event (similar to 3.5-3.8 Ma) coincides with the end of spreading at the Phoenix-Antarctic Ridge, but may be also correlated with global events such as initiation of the permanent Northern Hemisphere ice-sheet and a major sea level drop. Unit 1 (dated similar to Late Pliocene to Recent) is characterized by abundant chaotic, high-energy sheeted deposits, in addition to a variety of contourites, which suggest intensified deep-water production. Units 1 and 2 show, in addition, a cyclic pattern, more abundant wavy deposits and the development of internal unconformities, all of which attest to alternating periods of increased bottom current energy.</t>
  </si>
  <si>
    <t>Univ Granada, CSIC, Inst Andaluz Ciencias Tierra, Granada 18002, Spain; Univ Granada, Dept Geodinam, E-18071 Granada, Spain; Univ Vigo, Fac Ciencias Mar, Dept Geociencias Marinas, Vigo 36200, Spain; Univ Barcelona, Dept Geodinam &amp; Geofis, E-08028 Barcelona, Spain; Univ Cadiz, Fac Ciencias Mar, Cadiz 11510, Spain</t>
  </si>
  <si>
    <t>Consejo Superior de Investigaciones Cientificas (CSIC); CSIC - Instituto Andaluz de Ciencias de la Tierra (IACT); University of Granada; University of Granada; Universidade de Vigo; University of Barcelona; Universidad de Cadiz</t>
  </si>
  <si>
    <t>Maldonado, A (corresponding author), Univ Granada, CSIC, Inst Andaluz Ciencias Tierra, Granada 18002, Spain.</t>
  </si>
  <si>
    <t>amaldona@ugr.es</t>
  </si>
  <si>
    <t>Bohoyo, Fernando/C-1062-2011; Vazquez, Juan-Tomas/L-7796-2014; vasquez, juan/JCN-9608-2023; Surinach, Emma/C-5896-2008; Bohoyo, Fernando/AAZ-5990-2021; Lobo, Francisco José/J-9836-2012; JABALOY SANCHEZ, ANTONIO/L-2955-2014; Vazquez, Juan-Tomas/T-6271-2019; Galindo-Zaldivar, Jesus/K-3640-2012; RODRIGUEZ-FERNANDEZ, JOSE/L-7077-2014</t>
  </si>
  <si>
    <t>Bohoyo, Fernando/0000-0002-1044-8816; Vazquez, Juan-Tomas/0000-0002-3747-4838; Bohoyo, Fernando/0000-0002-1044-8816; Lobo, Francisco José/0000-0002-3294-7202; JABALOY SANCHEZ, ANTONIO/0000-0001-5830-5913; Vazquez, Juan-Tomas/0000-0002-3747-4838; Galindo-Zaldivar, Jesus/0000-0002-3493-2637; RODRIGUEZ-FERNANDEZ, JOSE/0000-0003-0349-9209</t>
  </si>
  <si>
    <t>0025-3235</t>
  </si>
  <si>
    <t>1573-0581</t>
  </si>
  <si>
    <t>MAR GEOPHYS RES</t>
  </si>
  <si>
    <t>Mar. Geophys. Res.</t>
  </si>
  <si>
    <t>10.1007/s11001-006-9003-4</t>
  </si>
  <si>
    <t>Geochemistry &amp; Geophysics; Oceanography</t>
  </si>
  <si>
    <t>075XB</t>
  </si>
  <si>
    <t>WOS:000239919400002</t>
  </si>
  <si>
    <t>Diviacco, P; Rebesco, M; Camerlenghi, A</t>
  </si>
  <si>
    <t>Diviacco, P.; Rebesco, M.; Camerlenghi, A.</t>
  </si>
  <si>
    <t>Late Pliocene mega debris flow deposit and related fluid escapes identified on the Antarctic Peninsula continental margin by seismic reflection data analysis</t>
  </si>
  <si>
    <t>Antarctic Peninsula; polar margins; debris flow; margin instability; sediment drift; late Pliocene</t>
  </si>
  <si>
    <t>PACIFIC MARGIN; GAS HYDRATE; SEDIMENTARY PROCESSES; STOREGGA SLIDE; HIGH-LATITUDE; ICE-SHEET; SEA-FLOOR; ROSS SEA; RECORD; MORPHOLOGY</t>
  </si>
  <si>
    <t>We have obtained improved images of a debris flow deposit through the reprocessing of multichannel seismic reflection data between Drifts 6 and 7 of the continental rise of the Pacific margin of the Antarctic Peninsula. The reprocessing, primarily aimed at the reduction of noise, relative to amplitude preservation, deconvolution, also included accurate velocity analyses. The deposit is dated as upper Pliocene (nearly 3.0 Ma) via correlation to Sites 1095 and 1096 of the Ocean Drilling Program (ODP) Leg 178. The estimated volume is about 1800 km(3) and the inferred provenance from the continental slope implies a run out distance exceeding 250 km. The dramatic mass-wasting event that produced this deposit, unique in the sedimentary history of this margin, is related to widespread late Pliocene margin erosion. This was associated with a catastrophic continental margin collapse, following the Antarctic ice sheet expansion in response to global cooling. The seismic data analysis also allowed us to identify diffractions and amplitude anomalies interpreted as expressions of sedimentary mounds at the seafloor overlying narrow high-velocity zones that we interpret as conduits of fluid expulsion hosting either methane hydrates or authigenic carbonates. Fluid expulsion was triggered by loading of underlying sediments by the debris flow deposits and may have continued until today by input of fluids from sediment compaction following the deep diagenesis of biogenic silica.</t>
  </si>
  <si>
    <t>Ist Nazl Oceanog &amp; Geofis Sperimentale, I-34010 Sgonico, TS, Italy; Univ Barcelona, Dept Estratig P &amp; Geociencies Marines, E-08028 Barcelona, Spain</t>
  </si>
  <si>
    <t>Istituto Nazionale di Oceanografia e di Geofisica Sperimentale; University of Barcelona</t>
  </si>
  <si>
    <t>Diviacco, P (corresponding author), Ist Nazl Oceanog &amp; Geofis Sperimentale, Borgo Grotta Gigante 42-C, I-34010 Sgonico, TS, Italy.</t>
  </si>
  <si>
    <t>pdiviacco@ogs.trieste.it</t>
  </si>
  <si>
    <t>Camerlenghi, Angelo/C-8816-2011; Camerlenghi, Angelo/AAG-3852-2019; Rebesco, Michele/B-7462-2014; Camerlenghi, Angelo/O-1593-2013</t>
  </si>
  <si>
    <t>Camerlenghi, Angelo/0000-0002-8128-9533; Rebesco, Michele/0000-0002-9492-4081; Camerlenghi, Angelo/0000-0002-8128-9533; Diviacco, Paolo/0000-0001-9404-9611</t>
  </si>
  <si>
    <t>10.1007/s11001-005-3136-8</t>
  </si>
  <si>
    <t>WOS:000239919400003</t>
  </si>
  <si>
    <t>Yamaguchi, A; Setoyanagi, T; Ebihara, M</t>
  </si>
  <si>
    <t>An anomalous eucrite, Dhofar 007, and a possible genetic relationship with mesosiderites</t>
  </si>
  <si>
    <t>PARENT BODY; PRECISE DETERMINATION; TRACE-ELEMENTS; IMPACT MELT; METEORITES; VESTA; PYROXENE; CLASTS; ORIGIN; METAL</t>
  </si>
  <si>
    <t>We studied the texture, mineralogy, and bulk chemical composition of Dhofar 007, a basaltic achondrite. Dhofar 007 is a polymict breccia that is mostly composed of coarse-grained granular (CG) clasts with a minor amount of xenolithic components, such as a fragment of Mg-rich pyroxene. The coarse-grained, relict gabbroic texture, mineral chemistry, and bulk chemical data of the coarse-grained clast indicate that the CG clasts were originally a cumulate rock crystallized in a crust of the parent body. However, in contrast to monomict eucrites, the siderophile elements are highly enriched and could have been introduced by impact events. Dhofar 007 appears to have experienced a two-stage postcrystallization thermal history: rapid cooling at high temperatures and slow cooling at lower temperatures. The presence of pigeonite with closely spaced, fine augite lamellae suggests that this rock was cooled rapidly front higher temperatures ( &gt; 0.5 degrees C/yr at similar to 1000 degrees C) than typical Cumulate eucrites. However, the presence of the cloudy zone in taenite and the Ni profile across the kamacite-taenite boundaries indicates that the cooling rate was very slow at lower temperatures (similar to 1-10 degrees C/Myr at &lt; 600-700 degrees C). The slow cooling rate is comparable to those in mesosiderites and pallasites. The two-stage thermal history and the relative abundance of siderophile elements similar to those for metallic portions in mesosiderites Suggest that Dhofar 007 is a large inclusion of mesosiderite. However, we cannot rule out a possibility that Dhofar 007 is an anomalous eucrite.</t>
  </si>
  <si>
    <t>Natl Inst Polar Res, Antarctic Meteorite Res Ctr, Tokyo 1738515, Japan; Grad Univ Adv Studies, Sch Multidisciplinary Sci, Dept Polar Sci, Tokyo 1738515, Japan; Tokyo Metropolitan Univ, Dept Chem, Hachioji, Tokyo 1920397, Japan</t>
  </si>
  <si>
    <t>Research Organization of Information &amp; Systems (ROIS); National Institute of Polar Research (NIPR) - Japan; Graduate University for Advanced Studies - Japan; Tokyo Metropolitan University</t>
  </si>
  <si>
    <t>Yamaguchi, A (corresponding author), Natl Inst Polar Res, Antarctic Meteorite Res Ctr, Tokyo 1738515, Japan.</t>
  </si>
  <si>
    <t>yamaguch@nipr.ac.jp</t>
  </si>
  <si>
    <t>10.1111/j.1945-5100.2006.tb00491.x</t>
  </si>
  <si>
    <t>051TN</t>
  </si>
  <si>
    <t>WOS:000238184000004</t>
  </si>
  <si>
    <t>Glavin, DP; Dworkin, JP; Aubrey, A; Botta, O; Doty, JH; Martins, Z; Bada, JL</t>
  </si>
  <si>
    <t>Glavin, Daniel P.; Dworkin, Jason P.; Aubrey, Andrew; Botta, Oliver; Doty, James H., III; Martins, Zita; Bada, Jeffrey L.</t>
  </si>
  <si>
    <t>Amino acid analyses of Antarctic CM2 meteorites using liquid chromatography-time of flight-mass spectrometry</t>
  </si>
  <si>
    <t>MURCHISON METEORITE; O-PHTHALDIALDEHYDE/3-MERCAPTOPROPIONIC ACID; ELECTROSPRAY-IONIZATION; CARBONACEOUS CHONDRITES; ORTHO-PHTHALALDEHYDE; EXOGENOUS DELIVERY; ORGANIC-COMPOUNDS; DERIVATIVES; SEARCH; MICROMETEORITES</t>
  </si>
  <si>
    <t>Amino acid analyses of the Antarctic CM2 chondrites Allan Hills (ALH) 83100 and Lewis Cliff (LEW) 90500 using liquid chromatography-time of flight-mass spectrometry (LC-ToF-MS) Coupled with UV fluorescence detection revealed that these carbonaceous meteorites contain a suite of indigenous amino acids not present in Antarctic ice. Several amino acids were detected in ALH 83100, including glycine, alanine, beta-alanine, gamma-amino-n-butyric acid (gamma-ABA), and alpha-aminoisobutyric acid (AIB) with concentrations ranging from 250 to 340 parts per billion (ppb). In contrast to ALH 83 100, the CM2 meteorites LEW 90500 and Murchison had a much higher total abundance of these amino acids (440-3200 ppb). In addition, ALL! 83 100 was found to have lower abundances of the alpha-dialkyl amino acids AIB and isovaline than LEW 90500 and Murchison. There are three possible explanations for the depleted amino, acid content in ALH 83100: 1) amino acid leaching from ALH 83100 during exposure to Antarctic ice meltwater, 2) a higher degree of aqueous alteration on the ALH 83 100 parent body, or 3) ALH 83 100 originated on a chemically distinct parent body from the other two CM2 meteorites. The high relative abundance of epsilon-amino-n-caproic acid (EACA) in the ALH 83100 meteorite as well as the Antarctic ice indicates that Nylon-6 contamination from the Antarctic sample storage bags may have occurred during collection.</t>
  </si>
  <si>
    <t>NASA, Goddard Space Flight Ctr, Greenbelt, MD 20771 USA; Univ Calif San Diego, Scripps Inst Oceanog, La Jolla, CA 92093 USA; Dematha Catholic High Sch, Hyattsville, MD 20781 USA; Leiden Inst Chem, NL-2300 RA Leiden, Netherlands</t>
  </si>
  <si>
    <t>National Aeronautics &amp; Space Administration (NASA); NASA Goddard Space Flight Center; University of California System; University of California San Diego; Scripps Institution of Oceanography; Leiden University</t>
  </si>
  <si>
    <t>Glavin, DP (corresponding author), NASA, Goddard Space Flight Ctr, Code 661, Greenbelt, MD 20771 USA.</t>
  </si>
  <si>
    <t>daniel.p.glavin@nasa.gov</t>
  </si>
  <si>
    <t>Glavin, Daniel P/D-6194-2012; Dworkin, Jason P./C-9417-2012; Martins, Zita/H-4860-2015</t>
  </si>
  <si>
    <t>Glavin, Daniel P/0000-0001-7779-7765; Dworkin, Jason P./0000-0002-3961-8997; Martins, Zita/0000-0002-5420-1081</t>
  </si>
  <si>
    <t>10.1111/j.1945-5100.2006.tb00493.x</t>
  </si>
  <si>
    <t>WOS:000238184000006</t>
  </si>
  <si>
    <t>Goodrich, CA; Wlotzka, F; Ross, DK; Bartoschewitz, R</t>
  </si>
  <si>
    <t>Goodrich, Cyrena Anne; Wlotzka, Frank; Ross, D. Kent; Bartoschewitz, Rainer</t>
  </si>
  <si>
    <t>Northwest Africa 1500: Plagioclase-bearing monomict ureilite or ungrouped achondrite?</t>
  </si>
  <si>
    <t>MINERAL/MELT REACTION TEXTURE; PETROGENETIC INDICATORS; METEORITICAL BULLETIN; ANTARCTIC UREILITES; ORGANIC-CARBON; OLIVINE; ORIGIN; MINERALOGY; EQUILIBRIA; PYROXENES</t>
  </si>
  <si>
    <t>Northwest Africa (NWA) 1500 is an ultramafic meteorite dominated by coarse (similar to 100-500 mu m) olivine (95-96%), augite (2-3%). and chromite (0.6-1.6%) in an equilibrated texture. Plagioclase (0.7-1.8%) occurs as poikilitic grains (up to similar to 3 mm) in vein-like areas that have concentrations of augite and minor orthopyroxene. Other phases are Cl-apatite, metal, sulfide, and graphite. Olivine ranges from Fo 65-73, with a strong peak at Fo 68-69. Most grains are reverse-zoned, and also have similar to 10-30 mu m reduction rims. In terms of its dominant mineralogy and texture, NWA 1500 resembles the majority of monomict ureilites. However, it is more ferroan than known ureilites (Fo &gt;= 75) and other mineral compositional parameters are out of the ureilite range as well. Furthermore, neither apatite nor plagioclase have ever been observed, and chromite is rare in monomict ureilites. Nevertheless, this meteorite may be petrologically related to the rare augite-bearing ureilites and represent a previously unsampled part of the ureilite parent body (UPB). The Mn/Mg ratio of its olivine and textural features of its pyroxenes are consistent with this interpretation. However, its petrogenesis differs from that of known auglite-bearing ureilites in that: 1) it formed under more oxidized conditions; 2) plagioclase appeared before orthopyroxene in its crystallization sequence; and 3) it equilibrated to significantly lower ternperatUreS (800-1000 degrees C, from two-pyroxene and olivine-chromite thermometry). Formation under more oxidized conditions and the appearance of plagioclase before orthopyroxene could be explained if it formed at a greater depth on the UPB than previously sampled. However, its significantly different thermal history (compared to ureilites) may more plausibly be explained if it formed oil a different parent body. This conclusion is consistent with its oxygen isotopic composition, which suggests that it is an ungrouped achondrite. Nevertheless, the parent body of NWA 1500 may have been compositionally and petrologically similar to the UP13, and may have had a similar differentiation history.</t>
  </si>
  <si>
    <t>Kingsborough Community Coll, Dept Phys Sci, Brooklyn, NY 11235 USA; Max Planck Inst Chem, D-55020 Mainz, Germany; Univ Hawaii Manoa, Sch Ocean &amp; Earth Sci &amp; Technol, Honolulu, HI 96822 USA; Met Lab, D-38518 Gifhorn, Germany</t>
  </si>
  <si>
    <t>City University of New York (CUNY) System; Max Planck Society; University of Hawaii System; University of Hawaii Manoa</t>
  </si>
  <si>
    <t>Goodrich, CA (corresponding author), Kingsborough Community Coll, Dept Phys Sci, 2001 Oriental Blvd, Brooklyn, NY 11235 USA.</t>
  </si>
  <si>
    <t>cgoodrich@kingsborough.edu</t>
  </si>
  <si>
    <t>10.1111/j.1945-5100.2006.tb00496.x</t>
  </si>
  <si>
    <t>WOS:000238184000009</t>
  </si>
  <si>
    <t>Hoffman, JI; Forcada, J; Amos, W</t>
  </si>
  <si>
    <t>Hoffman, J. . I. .; Forcada, J.; Amos, W.</t>
  </si>
  <si>
    <t>No relationship between microsatellite variation and neonatal fitness in Antarctic fur seals, Arctocephalus gazella</t>
  </si>
  <si>
    <t>MOLECULAR ECOLOGY</t>
  </si>
  <si>
    <t>birth weight; heterozygosity-fitness correlation (HFC); inbreeding depression; internal relatedness; maternal effect; necropsy; parental relatedness; pinniped; survival</t>
  </si>
  <si>
    <t>PARENTAL RELATEDNESS; REPRODUCTIVE SUCCESS; SOAY SHEEP; HETEROZYGOSITY; PATERNITY; RESISTANCE; MORTALITY; SELECTION; SURVIVAL; MARKERS</t>
  </si>
  <si>
    <t>Published studies of wild vertebrate populations have almost universally reported positive associations between genetic variation measured at microsatellite loci and fitness, creating the impression of ubiquity both in terms of the species and the traits involved. However, there is concern that this picture may be misleading because negative results frequently go unpublished. Here, we analyse the relationship between genotypic variation at nine highly variable microsatellite loci and neonatal fitness in 1070 Antarctic fur seal pups born at Bird Island, South Georgia. Despite our relatively large sample size, we find no significant association between three different measures of heterozygosity and two fitness traits, birth weight and survival. Furthermore, increasing genetic resolution by calculating parental relatedness also yields no association between genetic variation and fitness. Our findings are consistent with necropsy data showing that most pups die from starvation or trauma, conditions that are unlikely to be influenced strongly by genetic factors, particularly if the benefits of high heterozygosity are linked to immune-related genes.</t>
  </si>
  <si>
    <t>Univ Cambridge, Dept Zool, Cambridge CB2 3EJ, England; British Antarctic Survey, NERC, Cambridge CB3 0ET, England</t>
  </si>
  <si>
    <t>University of Cambridge; UK Research &amp; Innovation (UKRI); Natural Environment Research Council (NERC); NERC British Antarctic Survey</t>
  </si>
  <si>
    <t>Hoffman, JI (corresponding author), Univ Cambridge, Dept Zool, Downing St, Cambridge CB2 3EJ, England.</t>
  </si>
  <si>
    <t>jih24@cam.ac.uk</t>
  </si>
  <si>
    <t>Forcada, Jaume/GYU-0677-2022; Hoffman, Joseph/K-7725-2012</t>
  </si>
  <si>
    <t>Hoffman, Joseph/0000-0001-5895-8949</t>
  </si>
  <si>
    <t>0962-1083</t>
  </si>
  <si>
    <t>1365-294X</t>
  </si>
  <si>
    <t>MOL ECOL</t>
  </si>
  <si>
    <t>Mol. Ecol.</t>
  </si>
  <si>
    <t>10.1111/j.1365-294X.2006.02894.x</t>
  </si>
  <si>
    <t>Biochemistry &amp; Molecular Biology; Ecology; Evolutionary Biology</t>
  </si>
  <si>
    <t>Biochemistry &amp; Molecular Biology; Environmental Sciences &amp; Ecology; Evolutionary Biology</t>
  </si>
  <si>
    <t>042GS</t>
  </si>
  <si>
    <t>WOS:000237516500023</t>
  </si>
  <si>
    <t>Moran, K; Backman, J; Brinkhuis, H; Clemens, SC; Cronin, T; Dickens, GR; Eynaud, F; Gattacceca, J; Jakobsson, M; Jordan, RW; Kaminski, M; King, J; Koc, N; Krylov, A; Martinez, N; Matthiessen, J; McInroy, D; Moore, TC; Onodera, J; O'Regan, M; Pälike, H; Rea, B; Rio, D; Sakamoto, T; Smith, DC; Stein, R; St John, K; Suto, I; Suzuki, N; Takahashi, K; Watanabe, M; Yamamoto, M; Farrell, J; Frank, M; Kubik, P; Jokat, W; Kristoffersen, Y</t>
  </si>
  <si>
    <t>Moran, Kathryn; Backman, Jan; Brinkhuis, Henk; Clemens, Steven C.; Cronin, Thomas; Dickens, Gerald R.; Eynaud, Frederique; Gattacceca, Jerome; Jakobsson, Martin; Jordan, Richard W.; Kaminski, Michael; King, John; Koc, Nalan; Krylov, Alexey; Martinez, Nahysa; Matthiessen, Jens; McInroy, David; Moore, Theodore C.; Onodera, Jonaotaro; O'Regan, Matthew; Palike, Heiko; Rea, Brice; Rio, Domenico; Sakamoto, Tatsuhiko; Smith, David C.; Stein, Ruediger; St John, Kristen; Suto, Itsuki; Suzuki, Noritoshi; Takahashi, Kozo; Watanabe, Mahito; Yamamoto, Masanobu; Farrell, John; Frank, Martin; Kubik, Peter; Jokat, Wilfried; Kristoffersen, Yngve</t>
  </si>
  <si>
    <t>The Cenozoic palaeoenvironment of the Arctic Ocean</t>
  </si>
  <si>
    <t>THERMOHALINE CIRCULATION; SEDIMENTATION-RATES; GLACIATION</t>
  </si>
  <si>
    <t>The history of the Arctic Ocean during the Cenozoic era ( 0 - 65 million years ago) is largely unknown from direct evidence. Here we present a Cenozoic palaeoceanographic record constructed from &gt;400 m of sediment core from a recent drilling expedition to the Lomonosov ridge in the Arctic Ocean. Our record shows a palaeoenvironmental transition from a warm 'greenhouse' world, during the late Palaeocene and early Eocene epochs, to a colder 'icehouse' world influenced by sea ice and icebergs from the middle Eocene epoch to the present. For the most recent similar to 14 Myr, we find sedimentation rates of 1 - 2 cm per thousand years, in stark contrast to the substantially lower rates proposed in earlier studies; this record of the Neogene reveals cooling of the Arctic that was synchronous with the expansion of Greenland ice (similar to 3.2 Myr ago) and East Antarctic ice (similar to 14 Myr ago). We find evidence for the first occurrence of ice-rafted debris in the middle Eocene epoch (similar to 45 Myr ago), some 35 Myr earlier than previously thought; fresh surface waters were present at,49 Myr ago, before the onset of ice-rafted debris. Also, the temperatures of surface waters during the Palaeocene/Eocene thermal maximum (similar to 55 Myr ago) appear to have been substantially warmer than previously estimated. The revised timing of the earliest Arctic cooling events coincides with those from Antarctica, supporting arguments for bipolar symmetry in climate change.</t>
  </si>
  <si>
    <t>Univ Rhode Isl, Grad Sch Oceanog, Narragansett, RI 02882 USA; Univ Rhode Isl, Dept Ocean Engn, Narragansett, RI 02882 USA; Stockholm Univ, Dept Geol &amp; Geochem, SE-10691 Stockholm, Sweden; Univ Utrecht, Dept Biol, Palaeobot &amp; Palynol Lab, NL-3584 DC Utrecht, Netherlands; Brown Univ, Dept Geol Sci, Providence, RI 02912 USA; US Geol Survey, Reston, VA 20192 USA; Rice Univ, Dept Earth Sci, Houston, TX 77251 USA; Univ Bordeaux, Dept Geol &amp; Oceanog, F-33405 Talence, France; CNRS, CEREGE, Dept Geophys, F-13545 Aix En Provence, France; Yamagata Univ, Dept Earth &amp; Environm Sci, Yamagata 9908560, Japan; UCL, Dept Earth Sci, London WC1E 6BT, England; Norwegian Polar Res Inst, Polar Environm Ctr, N-9296 Tromso, Norway; VNIIOkeangeol, Dept Lithol &amp; Geochem, St Petersburg 190121, Russia; Boston Univ, Boston, MA 02215 USA; Alfred Wegener Inst Fdn Polar &amp; Marine Res, D-27515 Bremerhaven, Germany; British Geol Survey, Edinburgh EH9 3LA, Midlothian, Scotland; Univ Michigan, Ann Arbor, MI 48109 USA; Kyushu Univ, Dept Earth &amp; Planetary Sci, Fukuoka 8128581, Japan; Univ Southampton, Natl Oceanog Ctr, Southampton SO14 3ZH, Hants, England; Univ Aberdeen, Dept Geog &amp; Environm, Aberdeen AB24 3UF, Scotland; Univ Padua, Dept Geol Paleontol &amp; Geophys, I-35137 Padua, Italy; JAMSTEC, IFREE, Yokosuka, Kanagawa 2370061, Japan; James Madison Univ, Dept Geol &amp; Environm Sci, Harrisonburg, VA 22807 USA; Nagoya Univ, Dept Earth &amp; Planetary Sci, Nagoya, Aichi 4648602, Japan; Tohoku Univ, Inst Geol &amp; Palaeontol, Sendai, Miyagi 9808578, Japan; Geol Survey Japan, Inst Geosci, Ibaraki 3058567, Japan; Hokkaido Univ, Grad Sch Environm Earth Sci, Sapporo, Hokkaido 0600810, Japan; IFM GEOMAR, Leibniz Inst Marine Sci, D-24148 Kiel, Germany; ETH, Paul Scherrer Inst, CH-8093 Zurich, Switzerland; Univ Bergen, Dept Earth Sci, N-5007 Bergen, Norway</t>
  </si>
  <si>
    <t>University of Rhode Island; University of Rhode Island; Stockholm University; Utrecht University; Brown University; United States Department of the Interior; United States Geological Survey; Rice University; Universite de Bordeaux; Centre National de la Recherche Scientifique (CNRS); Aix-Marseille Universite; Yamagata University; University of London; University College London; Norwegian Polar Institute; Boston University; Helmholtz Association; Alfred Wegener Institute, Helmholtz Centre for Polar &amp; Marine Research; UK Research &amp; Innovation (UKRI); Natural Environment Research Council (NERC); NERC British Geological Survey; University of Michigan System; University of Michigan; Kyushu University; NERC National Oceanography Centre; University of Southampton; University of Aberdeen; University of Padua; Japan Agency for Marine-Earth Science &amp; Technology (JAMSTEC); James Madison University; Nagoya University; Tohoku University; National Institute of Advanced Industrial Science &amp; Technology (AIST); Hokkaido University; Helmholtz Association; GEOMAR Helmholtz Center for Ocean Research Kiel; Swiss Federal Institutes of Technology Domain; ETH Zurich; Paul Scherrer Institute; University of Bergen</t>
  </si>
  <si>
    <t>Moran, K (corresponding author), Univ Rhode Isl, Grad Sch Oceanog, Narragansett, RI 02882 USA.</t>
  </si>
  <si>
    <t>kate.moran@gso.uri.edu</t>
  </si>
  <si>
    <t>Kaminski, Michael/K-3334-2012; O'Regan, Matt/P-6277-2019; Brinkhuis, Henk/IUO-8165-2023; Gattacceca, Jerome/AAG-5651-2019; Jakobsson, Martin/F-6214-2010; Watanabe, Mahito/N-2494-2018; Jakobsson, Martin/JAN-6828-2023; O'Regan, Matt/B-2157-2010; Moore, Theodore/N-8848-2014; Brinkhuis, Henk/B-4223-2009; Dickens, Gerald R/G-1222-2011; Yamamoto, Masanobu/A-6990-2012; Krylov, Alexey/R-4723-2019; Smith, David C/A-8309-2013; Pälike, Heiko/A-6560-2008</t>
  </si>
  <si>
    <t>O'Regan, Matt/0000-0002-6046-1488; Brinkhuis, Henk/0000-0003-0253-6610; Gattacceca, Jerome/0000-0002-1639-7140; Moore, Theodore/0000-0003-4121-1325; Yamamoto, Masanobu/0000-0003-1312-825X; Krylov, Alexey/0000-0001-5539-9758; Pälike, Heiko/0000-0003-3386-0923; Onodera, Jonaotaro/0000-0001-6942-2285; Jakobsson, Martin/0000-0002-9033-3559; Kaminski, Michael A/0000-0002-7344-5874; Dickens, Gerald/0000-0003-2869-4860; Stein, Ruediger/0000-0002-4453-9564; Matthiessen, Jens/0000-0002-6952-2494; Frank, Martin/0000-0002-8606-4421; Takahashi, Kozo/0000-0001-8660-4371; Rea, Brice/0000-0002-9928-145X; Smith, David/0000-0003-0627-5788; Eynaud, Frederique/0000-0003-1283-7425; Jokat, Wilfried/0000-0002-7793-5854; Jordan, Richard/0000-0002-8997-7349</t>
  </si>
  <si>
    <t>NERC [bgs03002] Funding Source: UKRI; Natural Environment Research Council [bgs03002] Funding Source: researchfish</t>
  </si>
  <si>
    <t>1476-4687</t>
  </si>
  <si>
    <t>10.1038/nature04800</t>
  </si>
  <si>
    <t>048AU</t>
  </si>
  <si>
    <t>WOS:000237920800039</t>
  </si>
  <si>
    <t>Briggs, CL; Selkirk, PM; Bergstrom, DM</t>
  </si>
  <si>
    <t>Briggs, C. L.; Selkirk, P. M.; Bergstrom, D. M.</t>
  </si>
  <si>
    <t>Facing the furious fifties:: the contractile stem of the subantarctic megaherb Pleurophyllum hooked</t>
  </si>
  <si>
    <t>NEW ZEALAND JOURNAL OF BOTANY</t>
  </si>
  <si>
    <t>Pleurophyllum hookeri; contractile stem; megaherb; subantarctic; stem anatomy</t>
  </si>
  <si>
    <t>ROOT CONTRACTION; ARACEAE</t>
  </si>
  <si>
    <t>On the cool, moist, extremely windy subantarctic islands, vegetation is treeless and megaherbs, tussock grasses, and cushion plants are the dominant plant growth forms. In world terms the subantarctic environment is an unusual one, and megaherbs are unusual plants which have some unusual anatomical features. On Macquarie Island the megaherb Pleurophyllum hookeri has a vertical contractile stem, largely underground, which maintains the plant's rosette of large leaves close to the ground surface. Stem contraction is associated with reduction in cell volume and increase in wall thickness of pith cells, and greater contraction of inner cortical than outer cortical cells. The network of vascular tissue adjusts to the dimensions of the contracted stem without disruption but the outer surface of the stem becomes wrinkled. We believe this to be the first record and description of permanent contraction of extensive stem tissue in an angiosperm.</t>
  </si>
  <si>
    <t>Australian Antarctic Div, Kingston, Tas 7150, Australia; Macquarie Univ, Dept Biol Sci, N Ryde, NSW 2109, Australia</t>
  </si>
  <si>
    <t>Australian Antarctic Division; Macquarie University</t>
  </si>
  <si>
    <t>Bergstrom, DM (corresponding author), Australian Antarctic Div, Channel Highway, Kingston, Tas 7150, Australia.</t>
  </si>
  <si>
    <t>RSNZ PUBLISHING</t>
  </si>
  <si>
    <t>WELLINGTON</t>
  </si>
  <si>
    <t>PO BOX 598, WELLINGTON, 00000, NEW ZEALAND</t>
  </si>
  <si>
    <t>0028-825X</t>
  </si>
  <si>
    <t>NEW ZEAL J BOT</t>
  </si>
  <si>
    <t>N. Z. J. Bot.</t>
  </si>
  <si>
    <t>10.1080/0028825X.2006.9513017</t>
  </si>
  <si>
    <t>067TX</t>
  </si>
  <si>
    <t>WOS:000239326600007</t>
  </si>
  <si>
    <t>Zhao, XY; Qian, JL; Wang, J; He, QY; Wang, ZL; Chen, CZ</t>
  </si>
  <si>
    <t>Zhao Xing-Yun; Qian Jun-Long; Wang Jian; He Qing-Yan; Wang Zu-Liang; Chen Cheng-Zhong</t>
  </si>
  <si>
    <t>Using a tree ring δ13C annual series to reconstruct atmospheric CO2 concentration over the past 300 years</t>
  </si>
  <si>
    <t>PEDOSPHERE</t>
  </si>
  <si>
    <t>atmospheric CO2 concentration; delta C-13; reconstruction; time series; tree ring</t>
  </si>
  <si>
    <t>CARBON-ISOTOPE RATIOS; ANTARCTIC ICE CORE; CLIMATIC IMPLICATIONS; 2 CENTURIES; DIOXIDE; CELLULOSE; RECORD; DISCRIMINATION; CHRONOLOGIES; TRENDS</t>
  </si>
  <si>
    <t>The annual series of delta C-13 were measured in tree rings of three Cryptomeria fortunei disks (CF-1, CF-2, and CF-3) collected from West Tianmu Mountain, Zhejiang Province, China, according to cross-dating tree ring ages. There was no obvious decreasing trend of the delta C-13 annual time series of CF-2 before 1835. However, from 1835 to 1982 the three tree ring delta C-13 annual series exhibited similar decreasing trends that were significantly (P &lt;= 0.001) correlated. The distribution characteristics. of a scatter diagram between estimated delta C-13 series of CF-2 from modeling and the atmospheric CO2 concentration extracted from the Law Dome ice core from 1840 to 1978 were analyzed and a curvilinear regression equation for reconstructing atmospheric CO2 concentration was established with R-2 = 0.98. Also, a test of independent samples indicated that between 1685 and 1839 the reconstructed atmospheric CO2 concentration using the delta C-13 series of CF-2 had a close relationship with the Law Dome and Siple ice cores, with a standard deviation of 1.98. The general increasing trend of the reconstructed atmospheric CO2 concentration closely reflected the long-term variation of atmospheric CO2 concentration recorded both before and after the Industrial Revolution. Between 1685 and 1840 the evaluated atmospheric CO2 concentration was stable, but after 1840 it exhibited a rapid increase. Given a longer delta C-13 annual time series of tree rings, it was feasible to rebuild a representative time series to describe the atmospheric CO2 concentration for an earlier period and for years that were not in the ice core record.</t>
  </si>
  <si>
    <t>Nanjing Normal Univ, Coll Geog Sci, Nanjing 210097, Peoples R China; Linyi Teachers Coll, Geog &amp; Tourism Dept, Linyi 276005, Shandong, Peoples R China; Chinese Acad Sci, Nanjing Inst Geog &amp; Limnol, Lake Sediment &amp; Environm Lab, Nanjing 210008, Peoples R China; Adm Bur Tianmu Mt Natl Nat Protect Dist, Linan 311311, Zhejiang, Peoples R China</t>
  </si>
  <si>
    <t>Nanjing Normal University; Linyi University; Chinese Academy of Sciences; Nanjing Institute of Geography &amp; Limnology, CAS</t>
  </si>
  <si>
    <t>Zhao, XY (corresponding author), Nanjing Normal Univ, Coll Geog Sci, Nanjing 210097, Peoples R China.</t>
  </si>
  <si>
    <t>sdlysm@vip.sina.com</t>
  </si>
  <si>
    <t>xingyun, zhao/X-1286-2019</t>
  </si>
  <si>
    <t>SCIENCE PRESS</t>
  </si>
  <si>
    <t>BEIJING</t>
  </si>
  <si>
    <t>16 DONGHUANGCHENGGEN NORTH ST, BEIJING 100717, PEOPLES R CHINA</t>
  </si>
  <si>
    <t>1002-0160</t>
  </si>
  <si>
    <t>2210-5107</t>
  </si>
  <si>
    <t>Pedosphere</t>
  </si>
  <si>
    <t>10.1016/S1002-0160(06)60065-9</t>
  </si>
  <si>
    <t>Soil Science</t>
  </si>
  <si>
    <t>Agriculture</t>
  </si>
  <si>
    <t>051NV</t>
  </si>
  <si>
    <t>WOS:000238168700013</t>
  </si>
  <si>
    <t>Potthoff, M; Johst, K; Gutt, J</t>
  </si>
  <si>
    <t>Potthoff, Michael; Johst, Karin; Gutt, Julian</t>
  </si>
  <si>
    <t>How to survive as a pioneer species in the Antarctic benthos: minimum dispersal distance as a function of lifetime and disturbance</t>
  </si>
  <si>
    <t>PERMANENT SPATIAL HETEROGENEITY; MARINE-INVERTEBRATES; SEA ANTARCTICA; PELAGIC LARVAE; WEDDELL SEA; ROSS SEA; RECRUITMENT; COMPETITION; IMPACT; GROWTH</t>
  </si>
  <si>
    <t>Very few details exists concerning the dispersal traits of Antarctic species and dispersal distances in particular are mostly unknown. Especially the general low number of mesoplanktonic larvae has caught attention, leading to the formulation of Thorson's rule. From this concept, originally concerning only trophic aspects, sometimes a reduced dispersal distance is deduced. Using a generic simulation model we show that in a benthic habitat exposed to iceberg scouring, even short dispersal phases of few hours are sufficient for a pioneer species to persist. This is very surprising for a pioneer species which should be able to disperse widely and colonise distant disturbed areas which are free of superior competitors. Our model revealed that the reason for this is the non-linear dependence of the dispersal distance on the disturbance regime and on species longevity. Thus, it is the combined effect of life history and disturbance traits which is important here: a sufficiently high disturbance frequency due to iceberg scouring and a long individual lifetime due to the low temperature decrease minimum dispersal distances required for persistence and thus coexistence and present an additional explanation for the relative rarity of planktonic larvae.</t>
  </si>
  <si>
    <t>Alfred Wegener Inst Polar &amp; Marine Res, D-27568 Bremerhaven, Germany; UFZ Helmholtz Ctr Environm Res, Dept Ecol Modelling, D-04301 Leipzig, Germany</t>
  </si>
  <si>
    <t>Helmholtz Association; Alfred Wegener Institute, Helmholtz Centre for Polar &amp; Marine Research; Helmholtz Association; Helmholtz Center for Environmental Research (UFZ)</t>
  </si>
  <si>
    <t>Potthoff, M (corresponding author), Alfred Wegener Inst Polar &amp; Marine Res, Columbusstr, D-27568 Bremerhaven, Germany.</t>
  </si>
  <si>
    <t>mpotthoff@awi-bremerhaven.de; karin.johst@ufz.de; jgutt@awi-bremerhaven.de</t>
  </si>
  <si>
    <t>Johst, Karin/D-5309-2015</t>
  </si>
  <si>
    <t>Johst, Karin/0000-0003-0798-2361</t>
  </si>
  <si>
    <t>10.1007/s00300-005-0086-1</t>
  </si>
  <si>
    <t>053PT</t>
  </si>
  <si>
    <t>WOS:000238317800002</t>
  </si>
  <si>
    <t>Malosso, E; Waite, IS; English, L; Hopkins, DW; O'Donnell, AG</t>
  </si>
  <si>
    <t>Malosso, Elaine; Waite, Ian S.; English, Lorna; Hopkins, David W.; O'Donnell, Anthony G.</t>
  </si>
  <si>
    <t>Fungal diversity in maritime Antarctic soils determined using a combination of culture isolation, molecular fingerprinting and cloning techniques</t>
  </si>
  <si>
    <t>GRADIENT GEL-ELECTROPHORESIS; POLYMERASE-CHAIN-REACTION; GROWTH TEMPERATURE; FELLFIELD SOIL; GEN. NOV.; MICROORGANISMS; BIODIVERSITY; COMMUNITIES; PHYLOGENIES; IDENTIFICATION</t>
  </si>
  <si>
    <t>The diversity and phylogenetic relationships of fungi obtained from Antarctic soils were analysed using molecular techniques. Direct extraction of soil community DNA from two locations, Fossil Bluff (FB) and Jane Col (JC), was supplemented with isolation studies. Nucleic acids from both the community DNA and the colony extracts were PCR amplified using primers specific for the 18S rRNA gene (18S rDNA). Amplicons were separated in denaturant gels (DGGE) or following endonuclease digestion (ARDRA). Clones presenting unique ARDRA banding patterns and unique DGGE bands were sequenced. Comparison of the experimental sequences from the different techniques employed with those held online resulted in the repeated recovery of a limited range of related organisms indicating low species diversity of microfungi in these soils. A total of 102 fungal sequences were obtained from FB (37 sequences) and JC (65 sequences) that together were distributed among the Basidiomycota (48 sequences), Ascomycota (48 sequences) and Zygomycota (6 sequences). Sequences of the latter were only recovered from the JC soils. Phylogenetic comparisons of the experimental sequences with those held online have shown high rRNA gene relatedness with those obtained from other, less extreme, environments.</t>
  </si>
  <si>
    <t>Newcastle Univ, Inst Res Environm &amp; Sustainabil, Newcastle Upon Tyne NE1 7RU, Tyne &amp; Wear, England; Univ Stirling, Dept Environm Sci, Stirling FK9 4LA, Scotland</t>
  </si>
  <si>
    <t>Newcastle University - UK; University of Stirling</t>
  </si>
  <si>
    <t>O'Donnell, AG (corresponding author), Newcastle Univ, Inst Res Environm &amp; Sustainabil, Devonshire Bldg, Newcastle Upon Tyne NE1 7RU, Tyne &amp; Wear, England.</t>
  </si>
  <si>
    <t>tony.odonnell@ncl.ac.uk</t>
  </si>
  <si>
    <t>; Malosso, Elaine/I-2153-2012</t>
  </si>
  <si>
    <t>O'Donnell, Tony/0000-0003-2001-4533; Malosso, Elaine/0000-0001-5920-7135; Hopkins, David/0000-0003-0953-8643</t>
  </si>
  <si>
    <t>10.1007/s00300-005-0088-z</t>
  </si>
  <si>
    <t>WOS:000238317800003</t>
  </si>
  <si>
    <t>Morley, SA; Belchier, M; Dickson, J; Mulvey, T</t>
  </si>
  <si>
    <t>Morley, S. A.; Belchier, M.; Dickson, J.; Mulvey, T.</t>
  </si>
  <si>
    <t>Reproductive strategies of sub-Antarctic lithodid crabs vary with habitat depth</t>
  </si>
  <si>
    <t>EARLY JUVENILE DEVELOPMENT; PARALOMIS-GRANULOSA; BRACHYURAN CRABS; DIFFERENT TEMPERATURES; BEAGLE CHANNEL; DECAPODA; FECUNDITY; LARVAL; CRUSTACEA; ARGENTINA</t>
  </si>
  <si>
    <t>We present the first fecundity and egg size data for three species of lithodid crab from Antarctic waters south of the Polar Front, caught in the fisheries operating around the island of South Georgia. In all species, fecundity was observed to increase with body size, but reproductive allocation was found to differ significantly between species. The highest relative fecundity (eggs(-g) body weight) and smallest egg size was found in Paralomis spinosissima, which is found in shallower waters, whereas the lowest relative fecundity values and largest eggs were recorded in the deeper living species, Neolithodes diomedeae. Evidence is presented that closely related sympatric species may employ quite different reproductive strategies that suit their depth distribution whilst indicating the overriding evolutionary adaptation of reproductive traits to temperature and food availability.</t>
  </si>
  <si>
    <t>British Antarctic Survey, Natl Environm Res Council, Cambridge CB3 0ET, England</t>
  </si>
  <si>
    <t>Morley, SA (corresponding author), British Antarctic Survey, Natl Environm Res Council, High Cross,Madingley Rd, Cambridge CB3 0ET, England.</t>
  </si>
  <si>
    <t>smor@bas.ac.uk</t>
  </si>
  <si>
    <t>10.1007/s00300-005-0091-4</t>
  </si>
  <si>
    <t>WOS:000238317800006</t>
  </si>
  <si>
    <t>McClintock, JB; Amsler, MO; Amsler, CD; Baker, BJ</t>
  </si>
  <si>
    <t>McClintock, James B.; Amsler, Margaret O.; Amsler, Charles D.; Baker, Bill J.</t>
  </si>
  <si>
    <t>The biochemical composition, energy content, and chemical antifeedant defenses of the common Antarctic Peninsular sea stars Granaster nutrix and Neosmilaster georgianus</t>
  </si>
  <si>
    <t>BRACHIOPOD LIOTHYRELLA-UVA; MCMURDO-SOUND; ECOLOGY; TOXICITY; SAPONINS; SPONGES; REEF; ECHINODERMS; BIOLOGY; EMBRYOS</t>
  </si>
  <si>
    <t>The sea stars Granaster nutrix and Neosmilaster georgianus are conspicuous members of benthic communities along the Antarctic Peninsula. An analysis of the proximate composition of somatic body components of nonreproductive adults indicates the nutrient storage organs (pyloric caeca) are rich in both protein (60.7 and 60.6% mean dry wt, respectively) and lipid (25.4 and 29.8% mean dry wt, respectively). Body-wall tissues, while containing small inconspicuous skeletal ossicles, are also comprised of significant levels of organic matter (33.5 and 55.7% mean dry wt, respectively), attributable primarily to protein. Both the pyloric caeca and body-wall tissues are relatively rich in energy (mean energy levels=24.8 and 26.5 kJ g(-1)dry wt; 8.4 and 14.1 kJ g(-1) dry wt, respectively). Despite the availability of these nutrients and energy neither sea star is preyed upon by the sympatric omnivorous sea star Odontaster validus, a common predator of other Antarctic sea stars. Laboratory feeding bioassays indicate that O. validus rejects live intact individuals and body-wall tissues of both sea star species while readily consuming dried krill. Alginate food pellets containing a krill powder and tissue level concentrations of organic methanol extracts of body-wall tissues were also rejected by O. validus. Moreover, the copious mucus released from the body wall of N. georgianus was deterrent in O. validus food pellet bioassays. Thus, both sea stars evidently possess defensive secondary metabolites that defend against predation and are likely to play a role in mediating materials and energy transfer in the Antarctic benthos.</t>
  </si>
  <si>
    <t>Univ Alabama Birmingham, Dept Biol, Birmingham, AL 35294 USA; Univ S Florida, Dept Chem, Tampa, FL 33620 USA</t>
  </si>
  <si>
    <t>University of Alabama System; University of Alabama Birmingham; State University System of Florida; University of South Florida</t>
  </si>
  <si>
    <t>McClintock, JB (corresponding author), Univ Alabama Birmingham, Dept Biol, Birmingham, AL 35294 USA.</t>
  </si>
  <si>
    <t>mcclinto@uab.edu</t>
  </si>
  <si>
    <t>Baker, Bill/N-4312-2019</t>
  </si>
  <si>
    <t>10.1007/s00300-005-0097-y</t>
  </si>
  <si>
    <t>WOS:000238317800011</t>
  </si>
  <si>
    <t>Gili, JM; López-Gonzalez, PJ; Bouillon, J</t>
  </si>
  <si>
    <t>Gili, Josep-Maria; Lopez-Gonzalez, Pablo J.; Bouillon, Jean</t>
  </si>
  <si>
    <t>A new Antarctic association:: the case of the hydroid Sarsia medelae (new sp.) associated with gorgonians</t>
  </si>
  <si>
    <t>BENTHIC FAUNA; CNIDARIA; GENUS; OCTOCORALLIA; EXPEDITIONS; POLARSTERN; FAMILY</t>
  </si>
  <si>
    <t>Sarsia medelae sp. nov. is described and illustrated from material collected in the Weddell Sea during the R/V Polarstern cruises ANT XVII/3 (April 2000) and in the Ross Sea during the R/V Italica cruise XIX (March 2004). The specimens have always been observed in association with several gorgonians of genera Thouarella sp., Primnoisis sp., and Notisis sp. The polyps of Sarsia medelae are considered as mesobiont of the gorgonian host with a non-parasitic relationship. It is the first time that this kind of association, which is so far only known from the Indian and Pacific Ocean, is reported in the Southern Ocean. This finding is discussed in the framework of the hypothesis that a part of Antarctic fauna has its origin in species dating back to before the Cretaceous period, because this kind of association between a hydroid and a gorgonian host being only known in the actual Antarctic shelf and in regions belonging to the previous Thethys areas.</t>
  </si>
  <si>
    <t>CSIC, Inst Ciencias Mar, E-08003 Barcelona, Spain; Univ Seville, Fac Biol, Dept Fisiol &amp; Zool, E-41012 Seville, Spain</t>
  </si>
  <si>
    <t>Consejo Superior de Investigaciones Cientificas (CSIC); CSIC - Centro Mediterraneo de Investigaciones Marinas y Ambientales (CMIMA); CSIC - Instituto de Ciencias del Mar (ICM); University of Sevilla</t>
  </si>
  <si>
    <t>Gili, JM (corresponding author), CSIC, Inst Ciencias Mar, Passeig Maritim Barceloneta, E-08003 Barcelona, Spain.</t>
  </si>
  <si>
    <t>gili@icm.csis.es</t>
  </si>
  <si>
    <t>Lopez-González, Pablo J./Y-6440-2018</t>
  </si>
  <si>
    <t>Lopez-González, Pablo J./0000-0002-7348-6270</t>
  </si>
  <si>
    <t>10.1007/s00300-005-0098-x</t>
  </si>
  <si>
    <t>WOS:000238317800012</t>
  </si>
  <si>
    <t>Gili, JM; López-González, PJ; Bouillon, J</t>
  </si>
  <si>
    <t>A new Antarctic association:: the case of the hydroid Sarsia medelae (new sp.) associated with gorgonians (vol 29, pg 632, 2006)</t>
  </si>
  <si>
    <t>CSIC, Inst Ciencias Mar, E-08003 Barcelona, Spain; Univ Sevilla, Fac Biol, Dept Fisiol &amp; Zool, E-41012 Seville, Spain</t>
  </si>
  <si>
    <t>Gili, JM (corresponding author), CSIC, Inst Ciencias Mar, Passeig Maritium Barceloneta 37-49, E-08003 Barcelona, Spain.</t>
  </si>
  <si>
    <t>10.1007/s00300-006-0130-9</t>
  </si>
  <si>
    <t>WOS:000238317800013</t>
  </si>
  <si>
    <t>Wilhelm, C; Büchel, C; Fisahn, J; Goss, R; Jakob, T; LaRoche, J; Lavaud, J; Lohr, M; Riebesell, U; Stehfest, K; Valentin, K; Kroth, PG</t>
  </si>
  <si>
    <t>Wilhelm, Christian; Buechel, Claudia; Fisahn, Joachim; Goss, Reimund; Jakob, Torsten; LaRoche, Julie; Lavaud, Johann; Lohr, Martin; Riebesell, Ulf; Stehfest, Katja; Valentin, Klaus; Kroth, Peter G.</t>
  </si>
  <si>
    <t>The regulation of carbon and nutrient assimilation in diatoms is significantly different from green algae</t>
  </si>
  <si>
    <t>PROTIST</t>
  </si>
  <si>
    <t>LIGHT-HARVESTING FUNCTION; XANTHOPHYLL-CYCLE-ENZYME; FUCOXANTHIN-CHLOROPHYLL PROTEINS; CO2 CONCENTRATING MECHANISMS; DIADINOXANTHIN DE-EPOXIDASE; IN-VIVO FLUORESCENCE; FATTY-ACID SYNTHESIS; ANTARCTIC SEA-ICE; PHAEODACTYLUM-TRICORNUTUM; MARINE DIATOM</t>
  </si>
  <si>
    <t>Univ Leipzig, Inst Biol 1, Dept Plant Physiol, D-04103 Leipzig, Germany; Goethe Univ Frankfurt, Inst Bot, D-60439 Frankfurt, Germany; Max Planck Inst Mol Pflanzenphysiol, D-14476 Golm, Germany; Leibniz Inst Meereswissensch, D-24105 Kiel, Germany; Univ Konstanz, Fachbereich Biol, D-78457 Constance, Germany; Johannes Gutenberg Univ Mainz, Inst Allgemeine Bot, D-55099 Mainz, Germany; Alfred Wegener Inst Polar &amp; Marine Res, D-27570 Bremerhaven, Germany</t>
  </si>
  <si>
    <t>Leipzig University; Goethe University Frankfurt; Max Planck Society; Helmholtz Association; GEOMAR Helmholtz Center for Ocean Research Kiel; University of Konstanz; Johannes Gutenberg University of Mainz; Helmholtz Association; Alfred Wegener Institute, Helmholtz Centre for Polar &amp; Marine Research</t>
  </si>
  <si>
    <t>Wilhelm, C (corresponding author), Univ Leipzig, Inst Biol 1, Dept Plant Physiol, Johannisallee 23, D-04103 Leipzig, Germany.</t>
  </si>
  <si>
    <t>cwilhelm@rz.uni-leipzig.de</t>
  </si>
  <si>
    <t>Lohr, Martin/A-1214-2009; LaRoche, Julie/A-1109-2010; Riebesell, Ulf/AAC-9717-2020; Lavaud, Johann/N-6185-2014; Kroth, Peter/A-9728-2008; Valentin, Klaus/G-5862-2014</t>
  </si>
  <si>
    <t>Lavaud, Johann/0000-0002-4704-2502; Buchel, Claudia/0000-0001-6640-7610; Kroth, Peter/0000-0003-4734-8955; Lohr, Martin/0000-0002-4335-9887; LaRoche, Julie/0000-0003-4809-6411; Riebesell, Ulf/0000-0002-9442-452X; Valentin, Klaus/0000-0001-7401-9423</t>
  </si>
  <si>
    <t>1434-4610</t>
  </si>
  <si>
    <t>Protist</t>
  </si>
  <si>
    <t>10.1016/j.protis.2006.02.003</t>
  </si>
  <si>
    <t>074QU</t>
  </si>
  <si>
    <t>WOS:000239827700002</t>
  </si>
  <si>
    <t>Lea, DW; Pak, DK; Belanger, CL; Spero, HJ; Hall, MA; Shackleton, NJ</t>
  </si>
  <si>
    <t>Lea, David W.; Pak, Dorothy K.; Belanger, Christina L.; Spero, Howard J.; Hall, Mike A.; Shackleton, Nicholas J.</t>
  </si>
  <si>
    <t>Paleoclimate history of Galapagos surface waters over the last 135,000 yr</t>
  </si>
  <si>
    <t>QUATERNARY SCIENCE REVIEWS</t>
  </si>
  <si>
    <t>EASTERN EQUATORIAL PACIFIC; OXYGEN ISOTOPIC COMPOSITION; GLACIAL-INTERGLACIAL CHANGES; PORE FLUID CONSTRAINTS; SOUTH CHINA SEA; PLANKTONIC-FORAMINIFERA; CLIMATE-CHANGE; CARBONATE DISSOLUTION; ATMOSPHERIC CO2; WARM POOL</t>
  </si>
  <si>
    <t>Records of planktonic and benthic foraminiferal delta O-18 and planktonic Mg/Ca from core TR163-22, just northwest of the Galapagos Islands, reveal a detailed (250-450 year resolution) climate history of the region over the last 135 thousand years (kyr). Sea surface temperatures (SSTs), reconstructed from G. ruber Mg/Ca, averaged 24.3+0.4 degrees C during the Holocene, 22.6+0.6 degrees C during marine isotope stage (MIS) 2, 3 and 4, and 26.0 +/- 0.9 degrees C during MIS 5e. Changes in SST lead changes in both planktonic and benthic delta O-18 by an average similar to 3 kyr, suggesting that SST changes in this region predated continental ice volume changes. Changes in SST display clear millennial scale variability, especially in marine isotope stage 3, with behavior somewhat similar to Antarctic proxy air temperature and South Pacific SST records. Removal of the temperature component from the planktonic delta O-18 record demonstrates that glacial-interglacial delta O-18-water changes at this site were 1.0 +/- 0.2 parts per thousand, similar to estimates for mean ocean shifts, implying that salinity changes due to regional hydrological variation between the Last Glacial Maximum and Holocene in the Galapagos region were minimal. Comparison between the TR163-22 SST record and an SST record from core TR163-19 North of the Equatorial Front reveals a largely similar broad-scale climate history, suggesting that changes in the Galapagos region were caused by large scale forcing rather than by local or regional dynamical changes. Changes in atmospheric greenhouse forcing are the most plausible explanation for the observed large-scale climate changes in the eastern equatorial Pacific. (c) 2006 Elsevier Ltd. All rights reserved.</t>
  </si>
  <si>
    <t>Univ Calif Santa Barbara, Dept Earth Sci, Santa Barbara, CA 93106 USA; Univ Calif Santa Barbara, Inst Marine Sci, Santa Barbara, CA 93106 USA; Univ Calif Davis, Dept Geol, Davis, CA 95616 USA; Univ Cambridge, Godwin Lab, Dept Earth Sci, Cambridge CB2 3A, England</t>
  </si>
  <si>
    <t>University of California System; University of California Santa Barbara; University of California System; University of California Santa Barbara; University of California System; University of California Davis; University of Cambridge</t>
  </si>
  <si>
    <t>Lea, DW (corresponding author), Univ Calif Santa Barbara, Dept Earth Sci, Santa Barbara, CA 93106 USA.</t>
  </si>
  <si>
    <t>lea@geol.ucsb.edu</t>
  </si>
  <si>
    <t>Spero, Howard/0000-0001-5465-8607; Belanger, Christina/0000-0002-1582-7647</t>
  </si>
  <si>
    <t>0277-3791</t>
  </si>
  <si>
    <t>QUATERNARY SCI REV</t>
  </si>
  <si>
    <t>Quat. Sci. Rev.</t>
  </si>
  <si>
    <t>11-12</t>
  </si>
  <si>
    <t>10.1016/j.quascirev.2005.11.010</t>
  </si>
  <si>
    <t>058WA</t>
  </si>
  <si>
    <t>WOS:000238694100003</t>
  </si>
  <si>
    <t>Arias, M; Alonso, JJ; Gómez-Enri, J; Villares, P; Catalán, M</t>
  </si>
  <si>
    <t>Arias, M.; Alonso, J. J.; Gomez-Enri, J.; Villares, P.; Catalan, M.</t>
  </si>
  <si>
    <t>Variability of the Antarctic Circumpolar Current from altimetry data</t>
  </si>
  <si>
    <t>REVISTA DE TELEDETECCION</t>
  </si>
  <si>
    <t>Spanish</t>
  </si>
  <si>
    <t>Antartic Circumpolar Current; altimetry; TOPEX/Poseidon</t>
  </si>
  <si>
    <t>A first approach on the temporal variability of the Antartic Circumpolar Current (ACC) is presented from the analysis of the TOPEX/Poseidon altimeter data. The interannual variance is computed between the 45 and 65 degrees S of latitude. The spatial analysis of the variance of the ACC leads to the conclusion that the areas of high variance are located where the marine topography presents accidents. Some relationships between the variability of the ACC and El Nino and La Nina are pointed out.</t>
  </si>
  <si>
    <t>[Arias, M.; Alonso, J. J.; Gomez-Enri, J.; Villares, P.; Catalan, M.] Univ Cadiz UCA, Fac Ciencias Mar &amp; Ciencias Ambient CASEM, Poligono Rio San Pedro S-N, Puerto Real 11510, Spain</t>
  </si>
  <si>
    <t>Universidad de Cadiz</t>
  </si>
  <si>
    <t>Arias, M (corresponding author), Univ Cadiz UCA, Fac Ciencias Mar &amp; Ciencias Ambient CASEM, Poligono Rio San Pedro S-N, Puerto Real 11510, Spain.</t>
  </si>
  <si>
    <t>m.ariasballe@alum.uca.es</t>
  </si>
  <si>
    <t>Gómez-Enri, Jesús/G-2726-2010</t>
  </si>
  <si>
    <t>UNIV POLITECNICA VALENCIA, EDITORIAL UPV</t>
  </si>
  <si>
    <t>VALENCIA</t>
  </si>
  <si>
    <t>CAMINO VERA S-N, VALENCIA, 46022, SPAIN</t>
  </si>
  <si>
    <t>1133-0953</t>
  </si>
  <si>
    <t>1988-8740</t>
  </si>
  <si>
    <t>REV TELEDETEC</t>
  </si>
  <si>
    <t>Rev. Teledetec.</t>
  </si>
  <si>
    <t>SI</t>
  </si>
  <si>
    <t>Remote Sensing</t>
  </si>
  <si>
    <t>V36IJ</t>
  </si>
  <si>
    <t>WOS:000215961600006</t>
  </si>
  <si>
    <t>Fischer, AC; Wolterbeek, HT; Kroon, JJ; Gerringa, LJA; Timmennans, KR; van Elteren, JT; Teunissen, T</t>
  </si>
  <si>
    <t>Fischer, A. C.; Wolterbeek, H. Th.; Kroon, J. J.; Gerringa, L. J. A.; Timmennans, K. R.; van Elteren, J. T.; Teunissen, T.</t>
  </si>
  <si>
    <t>On the use of iron radio-isotopes to study iron speciation kinetics in seawater: A column separation and off-line counting approach</t>
  </si>
  <si>
    <t>iron; seawater; radionacers; speciation kinetics; pre-concentration; ligands</t>
  </si>
  <si>
    <t>CATHODIC STRIPPING VOLTAMMETRY; ANTARCTIC SOUTHERN-OCEAN; FLOW-INJECTION ANALYSIS; NATURAL-WATERS; CHEMILUMINESCENCE DETECTION; PHYTOPLANKTON GROWTH; CHEMICAL SPECIATION; SUBNANOMOLAR LEVELS; DISSOLVED IRON; SAZ PROJECT</t>
  </si>
  <si>
    <t>The determination of unidirectional fluxes of Fe in the seawater Fe-pools requires the use of Fe (radio)isotopes, which in turn necessitates off-line iron counting. To implement new off-line counting approaches, methods by King et al. (1991) [King DW, Lin J, Kester DR. Spectrophotometric determination of iron(H) in seawater at nanomolar concentrations. Anal Chim Acta 1991;247:125-32] were adapted for use with radio-iron for Fe(II) and total Fe analysis. The approach consists of passing samples through preloaded SepPak (R) C-18 cartridges with either ferrozine (FZ) for Fe(II) measurement or 1-nitroso-2-naphthol (1N2N) for total iron analysis. Cartridges are afterwards eluted with methanol and the eluate subsequently counted for radio-iron. A series of experiments was carried out to investigate the new method's applicability. This included loading and extraction behaviour, selectivity for the targeted iron species, iron species recovery, memory effects and the influence of iron concentration. The FZ-preloaded cartridge showed 85% Fe(II) recovery in seawater by direct determination. Recoveries of about 60% for Fe(II) in seawater were found when including 10-15 min waiting time and sample loops, which was probably caused by the instability of Fe(II) due to oxidation. Using 1N2N cartridges for total dissolved iron measurement, recovery was obtained as nearly 100%, but with high variability which was probably caused by the interaction time of Fe with the 1N2N-preloaded cartridges. The cartridges showed only small memory effects. Remaining radio-iron could only be removed from the cartridges with 0.5 M HCl, which destroyed the functionality of the cartridge. This result suggests that the Fe fraction, which could not be eluted by methanol, was irreversibly bound to the cartridge. Desferrioxamine B was applied as a model ligand to test for interference from naturally occurring organic ligands; the results indicate that interferences may occur and should be considered very carefully. The described approaches are tested for seawater iron concentrations in a 1.4-2.3 nM Fe range; further testing is necessary for other Fe concentration ranges. (c) 2005 Elsevier B.V. All rights reserved.</t>
  </si>
  <si>
    <t>Delft Univ Technol, Inst Interfac Reactor, NL-2629 JB Delft, Netherlands; Royal Netherlands Inst Sea Res, Dept Marine Chem &amp; Geol, NL-1790 AB Den Burg, Netherlands; Natl Inst Chem, SI-1000 Ljubljana, Slovenia</t>
  </si>
  <si>
    <t>Delft University of Technology; Utrecht University; Royal Netherlands Institute for Sea Research (NIOZ); National Institute of Chemistry - Slovenia</t>
  </si>
  <si>
    <t>Fischer, AC (corresponding author), Delft Univ Technol, Inst Interfac Reactor, Mekelweg 15, NL-2629 JB Delft, Netherlands.</t>
  </si>
  <si>
    <t>science@astrid.thatsme.nl</t>
  </si>
  <si>
    <t>Fischer, Astrid/AAB-1687-2020</t>
  </si>
  <si>
    <t>Fischer, Astrid/0000-0002-7273-325X; timmermans, klaas/0000-0002-3214-4354</t>
  </si>
  <si>
    <t>1-3</t>
  </si>
  <si>
    <t>10.1016/j.scitotenv.2005.05.004</t>
  </si>
  <si>
    <t>059NQ</t>
  </si>
  <si>
    <t>WOS:000238739900017</t>
  </si>
  <si>
    <t>Metcheva, R; Yurukova, L; Teodorova, S; Nikolova, E</t>
  </si>
  <si>
    <t>Metcheva, R.; Yurukova, L.; Teodorova, S.; Nikolova, E.</t>
  </si>
  <si>
    <t>The penguin feathers as bioindicator of Antarctica environmental state</t>
  </si>
  <si>
    <t>Antarctica; Pygoscelis papua; Pygoscelis antarctica; feather; heavy metals; major essential elements; trace elements</t>
  </si>
  <si>
    <t>HEAVY-METALS; REPRESENTATIVE FAUNA; TRACE-ELEMENTS; ATLANTIC-OCEAN; BIRD FEATHERS; FOOD-CHAIN; MERCURY; SEABIRDS; CADMIUM; PREDATORS</t>
  </si>
  <si>
    <t>Concentrations of biogenic and toxic elements (Na, K, Mg, Ca, P, S, Fe, Cu, Zn, Co, Mn, Se, Ni, Sr, Al, Cd, Pb, As) were determined for the first time in feathers of gentoo penguin (Pygoscelis papua) and chinstrap penguin (Pygoscelis antaretica) from Antarctica. A comparison of element levels was performed among these species in years 2002-2003. Penguins molt annually and this fact allows defining precisely the concentrations of accumulated toxic elements and heavy metals in plumage every year. A continual environmental biomonitoring could establish a possible trend to contamination of the Antarctica sea zones. The penguin feather is an excellent subject for monitoring because penguins have long life span, permanent ecological niche and dominate the aviafauna in Antarctica. Because of its remoteness, Antarctica is believed to be unpolluted. The relatively elevated levels of Cd established are due to the Cd-enrichment of the Antarctic marine food chain. Because of great bioaccumulation of lead in feathers, the concentration of Pb in penguin feather was higher (4-8 times) compared to that of Cd. In both penguin species the levels of Zn were 1.9 times higher than respective Fe levels. The concentrations of most of the investigated elements were significantly higher in R papua than in R antarctica and this probably could be explained by the different diet and feeding habit of these species. (c) 2005 Elsevier B.V. All rights reserved.</t>
  </si>
  <si>
    <t>Bulgarian Acad Sci, Inst Nucl Res &amp; Nucl Energy, Sofia 1784, Bulgaria; Bulgarian Acad Sci, Inst Zool, Sofia 1000, Bulgaria; Bulgarian Acad Sci, Inst Bot, Sofia 1113, Bulgaria</t>
  </si>
  <si>
    <t>Bulgarian Academy of Sciences; Bulgarian Academy of Sciences; Bulgarian Academy of Sciences</t>
  </si>
  <si>
    <t>Teodorova, S (corresponding author), Bulgarian Acad Sci, Inst Nucl Res &amp; Nucl Energy, 72 Tzarigradsko Shaussee, Sofia 1784, Bulgaria.</t>
  </si>
  <si>
    <t>seteodor@tea.bg</t>
  </si>
  <si>
    <t>Metcheva, Roumiana/0000-0002-8146-6106</t>
  </si>
  <si>
    <t>10.1016/j.scitotenv.2005.05.008</t>
  </si>
  <si>
    <t>WOS:000238739900018</t>
  </si>
  <si>
    <t>López-González, PJ; Bresciani, J; Conradi, M</t>
  </si>
  <si>
    <t>Lopez-Gonzalez, Pablo J.; Bresciani, Jose; Conradi, Mercedes</t>
  </si>
  <si>
    <t>New genus, three new species and new records of Herpyllobiidae Hansen, 1892 (Crustacea, Copepoda), parasites of polychaetes from Antarctica</t>
  </si>
  <si>
    <t>SCIENTIA MARINA</t>
  </si>
  <si>
    <t>parasitic Copepoda; Herpyllobiidae; Herpyllobius; Eurysilenium; Gottoniella; Antarctica; Polynoidae</t>
  </si>
  <si>
    <t>STEENSTRUP; LUTKEN</t>
  </si>
  <si>
    <t>During the Antarctic Polarstern cruises ANT XIX/3 (ANDEEP-I), XIX/5 (LAMPOS), and XXI/2 (BENDEX) new material of symbiotic copepods associated with polynoid polychaetes was collected. Here the authors present results for the highly modified family Herpyllobiidae Hansen, 1892. New records of Herpyllobius antarcticus Vanhoffen, 1913 and Herpyllobius polarsterni Lopez-Gonzalez, Bresciani and Conradi, 2000 are provided from the eastern Weddell Sea and Bouvet Island respectively. A new species of the genus Eurysilenium Sars, 1870, E. australis, is described from specimens collected at the eastern Weddell Sea. A new genus, Gottoniella gen. nov., is proposed to include two species, G. antarctica sp. nov. and G. andeepi sp. nov., described from material collected from the Weddell Sea and Scotia Arc.</t>
  </si>
  <si>
    <t>Univ Seville, Dept Fisiol &amp; Zool, Fac Biol, E-41080 Seville, Spain; Royal Vet &amp; Agr Univ, Dept Zool, DK-1871 Frederiksberg C, Denmark</t>
  </si>
  <si>
    <t>University of Sevilla; University of Copenhagen</t>
  </si>
  <si>
    <t>López-Gonzalez, PJ (corresponding author), Univ Seville, Dept Fisiol &amp; Zool, Fac Biol, Apdo 1095, E-41080 Seville, Spain.</t>
  </si>
  <si>
    <t>pjlopez@us.es</t>
  </si>
  <si>
    <t>Lopez-González, Pablo J./Y-6440-2018; Conradi Barrena, Mercedes/L-3207-2017</t>
  </si>
  <si>
    <t>Lopez-González, Pablo J./0000-0002-7348-6270; Conradi Barrena, Mercedes/0000-0001-9458-303X</t>
  </si>
  <si>
    <t>CONSEJO SUPERIOR INVESTIGACIONES CIENTIFICAS-CSIC</t>
  </si>
  <si>
    <t>MADRID</t>
  </si>
  <si>
    <t>VITRUVIO 8, 28006 MADRID, SPAIN</t>
  </si>
  <si>
    <t>0214-8358</t>
  </si>
  <si>
    <t>1886-8134</t>
  </si>
  <si>
    <t>SCI MAR</t>
  </si>
  <si>
    <t>Sci. Mar.</t>
  </si>
  <si>
    <t>10.3989/scimar.2006.70n2243</t>
  </si>
  <si>
    <t>053TQ</t>
  </si>
  <si>
    <t>Green Published, Green Submitted, gold</t>
  </si>
  <si>
    <t>WOS:000238328600008</t>
  </si>
  <si>
    <t>Hughes, KA; Scherer, K; Svenoe, T; Rettberg, P; Horneck, G; Convey, P</t>
  </si>
  <si>
    <t>Tundra plants protect the soil surface from UV</t>
  </si>
  <si>
    <t>SOIL BIOLOGY &amp; BIOCHEMISTRY</t>
  </si>
  <si>
    <t>arctic; microorganisms; UV-B; tundra; vegetation; ozone depletion; climate change</t>
  </si>
  <si>
    <t>CLIMATE-CHANGE; ULTRAVIOLET-RADIATION; BIOGEOCHEMICAL CYCLES; RESPONSES; FOREST; ABUNDANCE</t>
  </si>
  <si>
    <t>In the Arctic, seasonal ozone depletion is resulting in periods of enhanced UV-B radiation at ground level while regional climate change is associated with increasing temperatures. These changes are likely to alter plant distribution, biodiversity and morphology, which may have knock-on effects for microbially driven biogeochemical cycling and other soil processes. Our study examined the transmission of solar UV radiation through arctic tundra plants using a portable UV radiometer and the DLR-biofilm biological UV dosimeter. A strong negative correlation was found between vegetation cover and UV transmission to the soil surface. Penetration of UV to the soil beneath tundra plants varied depending upon plant morphology, being greater through low creeping plants than cushion plants, grasses or mosses. UV transmission to the soil surface beyond the foliage edge also varied with plant morphology and the presence of flowers. (c) 2005 Elsevier Ltd. All rights reserved.</t>
  </si>
  <si>
    <t>British Antarctic Survey, NERC, Cambridge CB3 0ET, England; German Aerosp Ctr, Inst Aerosp Med, D-51147 Cologne, Germany; Norwegian Polar Res Inst, N-9296 Tromso, Norway</t>
  </si>
  <si>
    <t>UK Research &amp; Innovation (UKRI); Natural Environment Research Council (NERC); NERC British Antarctic Survey; Helmholtz Association; German Aerospace Centre (DLR); Norwegian Polar Institute</t>
  </si>
  <si>
    <t>Hughes, KA (corresponding author), British Antarctic Survey, NERC, High Cross,Madingley Rd, Cambridge CB3 0ET, England.</t>
  </si>
  <si>
    <t>k.hughes@bas.ac.uk</t>
  </si>
  <si>
    <t>Hughes, Kevin/JVZ-0793-2024; Convey, Peter/AAV-5728-2020; Rettberg, Petra/AAI-4493-2021</t>
  </si>
  <si>
    <t>Convey, Peter/0000-0001-8497-9903; Rettberg, Petra/0000-0003-4439-2395</t>
  </si>
  <si>
    <t>Natural Environment Research Council [bas010008] Funding Source: researchfish; NERC [bas010008] Funding Source: UKRI</t>
  </si>
  <si>
    <t>0038-0717</t>
  </si>
  <si>
    <t>SOIL BIOL BIOCHEM</t>
  </si>
  <si>
    <t>Soil Biol. Biochem.</t>
  </si>
  <si>
    <t>10.1016/j.soilbio.2005.09.021</t>
  </si>
  <si>
    <t>049PO</t>
  </si>
  <si>
    <t>WOS:000238028700038</t>
  </si>
  <si>
    <t>Morrison, JF; Guynn, SR; Scofield, MA; Dowd, FJ; Petzel, DH</t>
  </si>
  <si>
    <t>Morrison, John F.; Guynn, Sierra R.; Scofield, Margaret A.; Dowd, Frank J.; Petzel, David H.</t>
  </si>
  <si>
    <t>Warm acclimation changes the expression of the Na+,K+-ATPase ot subunit isoforms in Antarctic fish gills</t>
  </si>
  <si>
    <t>Na+,K+-ATPase; acclimation; osmolality; phosphoenzyme intermediate formation; Trematomus bernacchii</t>
  </si>
  <si>
    <t>ZEALAND NOTOTHENIID FISHES; NA+/K+-ATPASE; ALPHA-SUBUNIT; SODIUM-PUMP; DIFFERENT TEMPERATURES; FXYD PROTEINS; HELA-CELLS; NA,K-ATPASE; BINDING; REGULATORS</t>
  </si>
  <si>
    <t>Acclimation of the Antarctic teleost Trematomus bernacchii at +4 degrees C results in a 25% decrease in serum osmolality and a doubling of gill Na+,K+-ATPase activity relative to -1.5 degrees C. Protein and mRNA of the alpha 1, alpha 2, and alpha 3 isoforms of Na+,K+-ATPase were previously reported in T bernacchii gill and studies in other systems have shown these isoforms display different kinetic and physiologic properties. We propose that the increase in Na+,K+-ATPase activity resulting from +4 degrees C acclimation is due to a change in Na+,K+-ATPase alpha isoform contribution and accounts for the decrease in serum osmolality; In response to acclimation at +4 degrees C, the apparent affinity of the enzyme for sodium increased significantly (measured by K'(Na) and K-0.5NA while the apparent affinity for potassium and ATP showed no change. Analysis of Na+,K+-ATPase phosphoenzyme intermediates indicated the a3 contribution to total Na+,K+-ATPase decreased from 33.72 +/- 13.03% to 0 +/- 6.67% while alpha 1 and a2 increased from 33.12 +/- 12.72% and 33.15 +/- 0.30% to 44.87 +/- 6.67% and 55.12 +/- 6.67%, respectively, upon +4 degrees C acclimation. Immunoblotting of alpha isoform protein showed significant increases in alpha 1 and alpha 2 and a significant decrease in alpha 3 with +4 degrees C acclimation. However, there was not a significant change in the Na+,K+-ATPase alpha subunit steady state transcription levels as measured by real-time RT-PCR. These observations (through the application of a functional biochemical characterization to an environmental physiological change) suggest that the T bernacchii reduce serum osmolality in response to increased environmental temperature by altering the alpha subunit composition of Na+,K+-ATPase. (c) 2006 Elsevier B.V. All rights reserved.</t>
  </si>
  <si>
    <t>Creighton Univ, Sch Med, Dept Biomed Sci, Omaha, NE 68178 USA; Creighton Univ, Sch Med, Dept Pharmacol, Omaha, NE 68178 USA</t>
  </si>
  <si>
    <t>Creighton University; Creighton University</t>
  </si>
  <si>
    <t>Petzel, DH (corresponding author), Creighton Univ, Sch Med, Dept Biomed Sci, Omaha, NE 68178 USA.</t>
  </si>
  <si>
    <t>dpetzel@creighton.edu</t>
  </si>
  <si>
    <t>MAY 30</t>
  </si>
  <si>
    <t>10.1016/j.jembe.2005.12.048</t>
  </si>
  <si>
    <t>053TM</t>
  </si>
  <si>
    <t>WOS:000238328200011</t>
  </si>
  <si>
    <t>Rowland, FS</t>
  </si>
  <si>
    <t>Rowland, F. Sherwood</t>
  </si>
  <si>
    <t>Stratospheric ozone depletion</t>
  </si>
  <si>
    <t>PHILOSOPHICAL TRANSACTIONS OF THE ROYAL SOCIETY B-BIOLOGICAL SCIENCES</t>
  </si>
  <si>
    <t>chlorofluorocarbons; ozone depletion; stratosphere; ultraviolet; Montreal Protocol; Antarctic ozone hole</t>
  </si>
  <si>
    <t>ULTRAVIOLET-RADIATION; ATMOSPHERIC METHANE; HYDROGEN-CHLORIDE; NITRATE; TRENDS; WATER; CHLOROFLUOROMETHANES; DESTRUCTION; SINK; ICE</t>
  </si>
  <si>
    <t>Solar ultraviolet radiation creates an ozone layer in the atmosphere which in turn completely absorbs the most energetic fraction of this radiation. This process both warms the air, creating the stratosphere between 15 and 50 km altitude, and protects the biological activities at the Earth's surface from this damaging radiation. In the last half-century, the chemical mechanisms operating within the ozone layer have been shown to include very efficient catalytic chain reactions involving the chemical species HO, HO2, NO, NO2, Cl and CIO. The NOX and ClOX chains involve the emission at Earth's surface of stable molecules in very low concentration (N2O, CCl2F2, CCl3F, etc.) which wander in the atmosphere for as long as a century before absorbing ultraviolet radiation and decomposing to create NO and Cl in the middle of the stratospheric ozone layer. The growing emissions of synthetic chlorofluorocarbon molecules cause a significant diminution in the ozone content of the stratosphere, with the result that more solar ultraviolet-B radiation (290-320 nm wavelength) reaches the surface. This ozone loss occurs in the temperate zone latitudes in all seasons, and especially drastically since the early 1980s in the south polar springtime-the 'Antarctic ozone hole'. The chemical reactions causing this ozone depletion are primarily based on atomic Cl and CIO, the product of its reaction with ozone. The further manufacture of chlorofluorocarbons has been banned by the 1992 revisions of the 1987 Montreal Protocol of the United Nations. Atmospheric measurements have confirmed that the Protocol has been very successful in reducing further emissions of these molecules. Recovery of the stratosphere to the ozone conditions of the 1950s will occur slowly over the rest of the twenty-first century because of the long lifetime of the precursor molecules.</t>
  </si>
  <si>
    <t>Univ Calif Irvine, Dept Chem, Irvine, CA 92697 USA; Univ Calif Irvine, Dept Earth Syst Sci, Irvine, CA 92697 USA</t>
  </si>
  <si>
    <t>University of California System; University of California Irvine; University of California System; University of California Irvine</t>
  </si>
  <si>
    <t>Rowland, FS (corresponding author), Univ Calif Irvine, Dept Chem, Irvine, CA 92697 USA.</t>
  </si>
  <si>
    <t>rowland@uci.edu</t>
  </si>
  <si>
    <t>0962-8436</t>
  </si>
  <si>
    <t>1471-2970</t>
  </si>
  <si>
    <t>PHILOS T R SOC B</t>
  </si>
  <si>
    <t>Philos. Trans. R. Soc. B-Biol. Sci.</t>
  </si>
  <si>
    <t>MAY 29</t>
  </si>
  <si>
    <t>10.1098/rstb.2005.1783</t>
  </si>
  <si>
    <t>045ZA</t>
  </si>
  <si>
    <t>WOS:000237780000004</t>
  </si>
  <si>
    <t>Hernández-León, S; Montero, I</t>
  </si>
  <si>
    <t>Hernandez-Leon, Santiago; Montero, Irene</t>
  </si>
  <si>
    <t>Zooplankton biomass estimated from digitalized images in Antarctic waters:: A calibration exercise</t>
  </si>
  <si>
    <t>OPTICAL PLANKTON COUNTER; FRUELA CRUISES; DRY WEIGHT; PENINSULA; CARBON; BIOVOLUME; SIZE; SEA</t>
  </si>
  <si>
    <t>[1] The direct measurement of zooplankton biomass following the different analytical procedures normally requires the destruction of the samples. The use of conversion factors to estimate biomass from nondestructive methods is still a challenge. The widespread use of image analyzers and optical counters in biological oceanography provides a useful tool to measure the abundance and size spectrum of zooplanktonic organisms in real or quasi-real time. Both methodologies measure the equivalent spherical diameter and/or the body area of organisms. In order to estimate biomass from the highly valuable information generated by the size spectrum of the sample, we measured the relationship between individual body area and individual biomass of the most common species and groups of zooplankton in Antarctic waters. The slope of the regression for each different species and groups of taxa was not significantly different from that obtained by pooling all taxa, thus providing a general relationship for the entire size spectrum of zooplankton. The biomass estimated from the body area spectrum of samples obtained around the Antarctic Peninsula agreed with other measurements of biomass in the region. The proposed conversion factor could provide for rapid estimates of biomass of net-collected zooplankton from imaging devices or optical plankton counters.</t>
  </si>
  <si>
    <t>Fac Ciencias Mar, Biol Oceanog Lab, Las Palmas Gran Canaria 35017, Canary Islands, Spain</t>
  </si>
  <si>
    <t>Hernández-León, S (corresponding author), Fac Ciencias Mar, Biol Oceanog Lab, Campus Univ Tafira, Las Palmas Gran Canaria 35017, Canary Islands, Spain.</t>
  </si>
  <si>
    <t>shernandez@dbio.ulpgc.es</t>
  </si>
  <si>
    <t>Hernández-León, Santiago/M-2563-2014</t>
  </si>
  <si>
    <t>Hernandez-Leon, Santiago/0000-0002-3085-4969</t>
  </si>
  <si>
    <t>MAY 27</t>
  </si>
  <si>
    <t>C5</t>
  </si>
  <si>
    <t>C05S03</t>
  </si>
  <si>
    <t>10.1029/2005JC002887</t>
  </si>
  <si>
    <t>049UQ</t>
  </si>
  <si>
    <t>WOS:000238043300001</t>
  </si>
  <si>
    <t>Meredith, NP; Horne, RB; Glauert, SA; Thorne, RM; Summers, D; Albert, JM; Anderson, RR</t>
  </si>
  <si>
    <t>Meredith, Nigel P.; Horne, Richard B.; Glauert, Sarah A.; Thorne, Richard M.; Summers, Danny; Albert, Jay M.; Anderson, Roger R.</t>
  </si>
  <si>
    <t>Energetic outer zone electron loss timescales during low geomagnetic activity</t>
  </si>
  <si>
    <t>WHISTLER-MODE CHORUS; LINEAR DIFFUSION-COEFFICIENTS; RADIATION BELT ELECTRONS; PITCH-ANGLE DIFFUSION; RELATIVISTIC ELECTRONS; PLASMASPHERIC HISS; INNER MAGNETOSPHERE; MAGNETIC STORM; GEOSYNCHRONOUS ORBIT; RESONANT INTERACTION</t>
  </si>
  <si>
    <t>Following enhanced magnetic activity the fluxes of energetic electrons in the Earth's outer radiation belt gradually decay to quiet-time levels. We use CRRES observations to estimate the energetic electron loss timescales and to identify the principal loss mechanisms. Gradual loss of energetic electrons in the region 3.0 &lt;= L &lt;= 5.0 occurs during quiet periods (Kp &lt; 3(-)) following enhanced magnetic activity on timescales ranging from 1.5 to 3.5 days for 214 keV electrons to 5.5 to 6.5 days for 1.09 MeV electrons. The intervals of decay are associated with large average values of the ratio f(pe)/f(ce) (&gt;7), indicating that the decay takes place in the plasmasphere. We compute loss timescales for pitch-angle scattering by plasmaspheric hiss using the PADIE code with wave properties based on CRRES observations. The resulting timescales suggest that pitch angle scattering by plasmaspheric hiss propagating at small or intermediate wave normal angles is responsible for electron loss over a wide range of energies and L shells. The region where hiss dominates loss is energy-dependent, ranging from 3.5 &lt;= L &lt;= 5.0 at 214 keV to 3.0 &lt;= L &lt;= 4.0 at 1.09 MeV. Plasmaspheric hiss at large wave normal angles does not contribute significantly to the loss rates. At E = 1.09 MeV the loss timescales are overestimated by a factor of similar to 5 for 4.5 &lt;= L &lt;= 5.0. We suggest that resonant wave-particle interactions with EMIC waves, which become important at MeV energies for larger L ( L &gt; similar to 4.5), may play a significant role in this region.</t>
  </si>
  <si>
    <t>British Antarctic Survey, NERC, Cambridge CB3 0ET, England; Univ Calif Los Angeles, Dept Atmospher &amp; Ocean Sci, Los Angeles, CA 90095 USA; Mem Univ Newfoundland, Dept Math &amp; Stat, St John, NF A1C 5S7, Canada; Univ KwaZulu Natal, Sch Phys, Durban, South Africa; USAF, Res Lab, Space Vehicles Directorate, Hanscom AFB, MA 01731 USA; Univ Iowa, Dept Phys &amp; Astron, Iowa City, IA 52242 USA</t>
  </si>
  <si>
    <t>UK Research &amp; Innovation (UKRI); Natural Environment Research Council (NERC); NERC British Antarctic Survey; University of California System; University of California Los Angeles; Memorial University Newfoundland; University of Kwazulu Natal; United States Department of Defense; United States Air Force; University of Iowa</t>
  </si>
  <si>
    <t>Meredith, NP (corresponding author), British Antarctic Survey, NERC, Madingley Rd, Cambridge CB3 0ET, England.</t>
  </si>
  <si>
    <t>nmer@bas.ac.uk; r.horne@bas.ac.uk; sagl@bas.ac.uk; rmt@atmos.ucla.edu; dsummers@math.mun.ca; jay.albert@hanscom.af.mil; roger-r-anderson@uiowa.edu</t>
  </si>
  <si>
    <t>Meredith, Nigel P/C-5806-2018; Horne, Richard B/U-3764-2019; Albert, Jay/AAV-6860-2020</t>
  </si>
  <si>
    <t>Horne, Richard B/0000-0002-0412-6407; Albert, Jay/0000-0001-9494-7630; Meredith, Nigel/0000-0001-5032-3463</t>
  </si>
  <si>
    <t>A5</t>
  </si>
  <si>
    <t>A05212</t>
  </si>
  <si>
    <t>10.1029/2005JA011516</t>
  </si>
  <si>
    <t>049VQ</t>
  </si>
  <si>
    <t>Green Accepted, Bronze</t>
  </si>
  <si>
    <t>WOS:000238046100003</t>
  </si>
  <si>
    <t>Scheffer, M; Brovkin, V; Cox, PM</t>
  </si>
  <si>
    <t>Positive feedback between global warming and atmospheric CO2 concentration inferred from past climate change</t>
  </si>
  <si>
    <t>CARBON-CYCLE; ICE CORE; ANTARCTIC ICE; TEMPERATURES; GREENHOUSE; GASES; MODEL</t>
  </si>
  <si>
    <t>There is good evidence that higher global temperatures will promote a rise of greenhouse gas levels, implying a positive feedback which will increase the effect of anthropogenic emissions on global temperatures. However, the magnitude of this effect predicted by the available models remains highly uncertain, due to the accumulation of uncertainties in the processes thought to be involved. Here we present an alternative way of estimating the magnitude of the feedback effect based on reconstructed past changes. Linking this information with the mid-range Intergovernmental Panel on Climate Change estimation of the greenhouse gas effect on temperature we suggest that the feedback of global temperature on atmospheric CO2 will promote warming by an extra 15-78% on a century-scale. This estimate may be conservative as we did not account for synergistic effects of likely temperature moderated increase in other greenhouse gases. Our semi-empirical approach independently supports process based simulations suggesting that feedback may cause a considerable boost in warming.</t>
  </si>
  <si>
    <t>Wageningen Univ, Dept Environm Sci, Aquat Ecol &amp; Water Qual Management Grp, NL-6700 DD Wageningen, Netherlands; Potsdam Inst Climate Impact Res, D-14412 Potsdam, Germany; Ctr Ecol &amp; Hydrol, Dorchester DT2 8ZD, Dorset, England</t>
  </si>
  <si>
    <t>Wageningen University &amp; Research; Potsdam Institut fur Klimafolgenforschung; UK Centre for Ecology &amp; Hydrology (UKCEH)</t>
  </si>
  <si>
    <t>Scheffer, M (corresponding author), Wageningen Univ, Dept Environm Sci, Aquat Ecol &amp; Water Qual Management Grp, POB 8080, NL-6700 DD Wageningen, Netherlands.</t>
  </si>
  <si>
    <t>marten.scheffer@wur.nl</t>
  </si>
  <si>
    <t>Scheffer, Marten/C-1852-2012; Brovkin, Victor/C-2803-2016; Brovkin, Victor/I-7450-2012; Cox, Peter/B-3299-2012</t>
  </si>
  <si>
    <t>Brovkin, Victor/0000-0001-6420-3198; Cox, Peter/0000-0002-0679-2219</t>
  </si>
  <si>
    <t>Natural Environment Research Council [ceh010023] Funding Source: researchfish</t>
  </si>
  <si>
    <t>MAY 26</t>
  </si>
  <si>
    <t>L10702</t>
  </si>
  <si>
    <t>10.1029/2005GL025044</t>
  </si>
  <si>
    <t>049TA</t>
  </si>
  <si>
    <t>WOS:000238038500001</t>
  </si>
  <si>
    <t>Lam, MM; Pinnock, M; Donovan, EF</t>
  </si>
  <si>
    <t>Lam, M. M.; Pinnock, M.; Donovan, E. F.</t>
  </si>
  <si>
    <t>Observations of nightside magnetic reconnection during substorm growth and expansion phases</t>
  </si>
  <si>
    <t>HIGH-LATITUDE CONVECTION; ANGSTROM AURORAL EMISSION; POLAR-CAP BOUNDARY; SOLAR-WIND; MAGNETOSPHERIC SUBSTORMS; DAYSIDE MAGNETOPAUSE; RADAR OBSERVATIONS; FLUX-TRANSFER; PLASMA SHEET; FIELD</t>
  </si>
  <si>
    <t>[ 1] The temporal and spatial variability of nightside magnetic reconnection is described using two-dimensional ionospheric measurements during the growth phase and early expansion phase of a single substorm. Two techniques ( A and B) are used to address both the localized ( across similar to 15 degrees longitude at similar to 2300 magnetic local time (MLT)) and the large-scale reconnection rate, using ionospheric data that provides the component of the electric field tangential to the polar cap boundary (PCB) in the stationary boundary frame. Technique A uses localized high-resolution measurements derived from 630 nm all-sky imager data at Rankin Inlet and ionospheric convection vectors obtained from line-of-sight velocity data from the Kapuskasing and Saskatoon Super Dual Auroral Radar Network (SuperDARN) HF radars. Technique B uses lower resolution global measurements, obtained by combining Polar VIS imager data and a velocity field derived using SuperDARN global convection mapping. A third technique (C) estimates the nightside reconnection potential from the dayside reconnection potential and the variation in the polar cap area. Technique A reveals standing wave-like variation of period similar to 16 min in the reconnection rate in the late growth phase ( spatial noncontinuity in the x-line). The localized measurements of the reconnection rate vary between 0 and 50 mV/m during both the growth and expansion phases. Technique B shows the expansion of the x-line toward the duskside during the first 15 min of the expansion phase, from a width of similar to 4 hours of MLT to similar to 7 hours MLT.</t>
  </si>
  <si>
    <t>British Antarctic Survey, Div Phys Sci, Cambridge CB3 0ET, England; Univ Calgary, Dept Phys &amp; Astron, Calgary, AB T2N 1N4, Canada</t>
  </si>
  <si>
    <t>UK Research &amp; Innovation (UKRI); Natural Environment Research Council (NERC); NERC British Antarctic Survey; University of Calgary</t>
  </si>
  <si>
    <t>Lam, MM (corresponding author), British Antarctic Survey, Div Phys Sci, High Cross,Madingley Rd, Cambridge CB3 0ET, England.</t>
  </si>
  <si>
    <t>m.lam@bas.ac.uk</t>
  </si>
  <si>
    <t>Donovan, Eric/0000-0002-8557-4155</t>
  </si>
  <si>
    <t>NERC [bas010004] Funding Source: UKRI; Natural Environment Research Council [bas010004] Funding Source: researchfish</t>
  </si>
  <si>
    <t>A05209</t>
  </si>
  <si>
    <t>10.1029/2005JA011356</t>
  </si>
  <si>
    <t>049VP</t>
  </si>
  <si>
    <t>WOS:000238045900004</t>
  </si>
  <si>
    <t>Singh, SM; Puja, G; Bhat, DJ</t>
  </si>
  <si>
    <t>Singh, S. M.; Puja, G.; Bhat, D. J.</t>
  </si>
  <si>
    <t>Psychrophilic fungi from Schirmacher Oasis, East Antarctica</t>
  </si>
  <si>
    <t>WINDMILL ISLANDS; ENZYMES</t>
  </si>
  <si>
    <t>This communication presents results of a preliminary study on the fungal biodiversity of soils of Schirmacher Oasis, East Antarctica. Using 2% malt extract agar medium, serial dilution method was followed to recover the fungi in culture from the soil samples. Fungal colonies were visible in culture plates only when maintained at 2-5 degrees C for up to 45 days. Several taxa of fungi were recovered.</t>
  </si>
  <si>
    <t>Natl Ctr Antarctic &amp; Ocean Res, Vasco Da Gama 403804, Goa, India</t>
  </si>
  <si>
    <t>Ministry of Earth Sciences (MoES) - India; National Centre for Polar and Ocean Research (NCPOR)</t>
  </si>
  <si>
    <t>Singh, SM (corresponding author), Natl Ctr Antarctic &amp; Ocean Res, Vasco Da Gama 403804, Goa, India.</t>
  </si>
  <si>
    <t>smsingh@ncaor.org</t>
  </si>
  <si>
    <t>MAY 25</t>
  </si>
  <si>
    <t>068NP</t>
  </si>
  <si>
    <t>WOS:000239381500019</t>
  </si>
  <si>
    <t>Kalnajs, LE; Avallone, LM</t>
  </si>
  <si>
    <t>Frost flower influence on springtime boundary-layer ozone depletion events and atmospheric bromine levels</t>
  </si>
  <si>
    <t>POLAR SUNRISE; SEA-SALT; CHEMISTRY; AEROSOL; ICE; ACTIVATION; BR-2; BRCL; O-3</t>
  </si>
  <si>
    <t>Springtime boundary layer ozone depletion events have been observed in both the Arctic and Antarctic. It has been suggested that these bromine-catalyzed depletion events may be caused by bromine released from frost flowers. We have measured the pH and ion concentrations of snow and frost flowers in the Ross Island, Antarctica area and find that if these are representative, frost flowers are unlikely to be a direct source of atmospheric bromine. The pH of the sampled frost flowers is too alkaline to support the release of molecular bromine resulting from the heterogeneous reaction of HOBr with Br ions. It is more likely that frost flowers are a source of aerosol bromine from which gas-phase bromine can be released through subsequent reactions in aerosol form or on the snow pack.</t>
  </si>
  <si>
    <t>Univ Colorado, Atmospher &amp; Space Phys Lab, Boulder, CO 80309 USA</t>
  </si>
  <si>
    <t>University of Colorado System; University of Colorado Boulder</t>
  </si>
  <si>
    <t>Kalnajs, LE (corresponding author), Univ Colorado, Atmospher &amp; Space Phys Lab, 1234 Innovat Dr, Boulder, CO 80309 USA.</t>
  </si>
  <si>
    <t>kalnajs@colorado.edu</t>
  </si>
  <si>
    <t>KALNAJS, LARS/0000-0003-2301-2461</t>
  </si>
  <si>
    <t>L10810</t>
  </si>
  <si>
    <t>10.1029/2006GL025809</t>
  </si>
  <si>
    <t>049SY</t>
  </si>
  <si>
    <t>WOS:000238038300003</t>
  </si>
  <si>
    <t>Peacock, S; Lane, E; Restrepo, JM</t>
  </si>
  <si>
    <t>Peacock, Synte; Lane, Emily; Restrepo, Juan M.</t>
  </si>
  <si>
    <t>A possible sequence of events for the generalized glacial-interglacial cycle</t>
  </si>
  <si>
    <t>CORAL-REEF HYPOTHESIS; ANTARCTIC SEA-ICE; ATMOSPHERIC CO2; SOUTHERN-OCEAN; THERMOHALINE CIRCULATION; CALCIUM-CARBONATE; LEVEL RECORD; DEEP-OCEAN; TEMPERATURE; MAXIMUM</t>
  </si>
  <si>
    <t>There is not yet widespread agreement as to the underlying cause of the 80-100 ppmv roughly 100-kyr-duration glacial-interglacial cycles in atmospheric pCO(2). Most of the mechanisms which have been proposed to account for the observed pCO(2) variations appear to in some way violate interpretations of paleo proxy data. The inability of a single mechanism to explain the observed cycles in atmospheric CO2 (which show amazing similarity over the past 430,000 years) is perplexing, and leads us to consider whether a combination of mechanisms might be consistent with available evidence. Consistent with previous work, we find that physical changes (ocean circulation, temperature, mixing) can only explain part of the observed atmospheric pCO(2) variability; changes in ocean chemistry are invoked to explain the remainder. In order to account for the initial pCO(2) drawdown (from interglacial'' to intermediate'' levels), we invoke physical changes in the ocean (mixing, temperature). The transition from intermediate atmospheric pCO(2) levels to full glacial conditions involves a small increase in mean ocean nutrient levels and mean ocean alkalinity, accomplished by falling sea level and subsequent erosion of organic-rich shelf sediments. The first part of the transition out of full glacial conditions is achieved through increased temperature and increased mixing in the Southern Ocean. The final part of the atmospheric pCO(2) rise up to full interglacial conditions is accomplished through rising sea level and the subsequent change in mean ocean alkalinity and phosphate, and a rise in the Northern Hemisphere temperature and ocean mixing. The proposed sequence of events is consistent with most existing proxy evidence for paleo-nutrient levels and changes in export production over the last glacial-interglacial cycle. Furthermore, it is consistent with evidence for a whole-ocean shift in delta C-13 toward significantly more negative values in the late glacial. The proposed scenario is also consistent with ice core-based timing constraints, as summarized by Broecker and Henderson (1998). We show that we are able to explain the full magnitude of the glacial-interglacial cycle in atmospheric pCO(2) without the need to invoke iron-fertilization in the Southern Ocean.</t>
  </si>
  <si>
    <t>Univ Chicago, Dept Geophys Sci, Chicago, IL 60637 USA; Univ Calif Los Angeles, Dept Atmospher Sci, Los Angeles, CA 90955 USA; Univ Arizona, Dept Math, Tucson, AZ 85721 USA; Univ Arizona, Dept Phys, Tucson, AZ 85721 USA</t>
  </si>
  <si>
    <t>University of Chicago; University of California System; University of California Los Angeles; University of Arizona; University of Arizona</t>
  </si>
  <si>
    <t>Peacock, S (corresponding author), Univ Chicago, Dept Geophys Sci, 5734 S Ellis Ave, Chicago, IL 60637 USA.</t>
  </si>
  <si>
    <t>synte@geosci.uchicago.edu</t>
  </si>
  <si>
    <t>Restrepo, Juan M./O-3400-2019; Lane, Emily/AAU-7786-2020</t>
  </si>
  <si>
    <t>Restrepo, Juan M./0000-0003-2609-2882; Lane, Emily Margaret/0000-0002-9261-6640</t>
  </si>
  <si>
    <t>GB2010</t>
  </si>
  <si>
    <t>10.1029/2005GB002448</t>
  </si>
  <si>
    <t>049TT</t>
  </si>
  <si>
    <t>WOS:000238040700001</t>
  </si>
  <si>
    <t>Troshichev, O; Janzhura, A; Stauning, P</t>
  </si>
  <si>
    <t>Troshichev, Oleg; Janzhura, Alexander; Stauning, Peter</t>
  </si>
  <si>
    <t>Unified PCN and PCS indices: Method of calculation, physical sense, and dependence on the IMF azimuthal and northward components</t>
  </si>
  <si>
    <t>POLAR-CAP INDEX; MAGNETIC ACTIVITY; INTERPLANETARY QUANTITIES; ELECTRIC-FIELD; CURRENTS; REGION; PROXY; AE</t>
  </si>
  <si>
    <t>The PC index estimates the polar cap magnetic activity generated by the solar wind and its embedded magnetic field. It shows a high degree of correlation with geophysical disturbance parameters characterizing the state of magnetosphere. After transition to 1-min PC index values, significant differences were revealed between the PCN and PCS indices, derived on the basis of magnetic data from Thule and Vostok stations, respectively. Differences in values of the 1-min PCN and PCS indices may give rise to discrepancy in results of various analyses and to quite erroneous physical conclusions. To eliminate any influence of the calculation technique on scientific results a unified method for derivation of the PC index was elaborated in the Arctic and Antarctic Research Institute (St. Petersburg) and Danish Meteorological Institute (Copenhagen), and new sets of the unified PCN and PCS indices were calculated. Under conditions of southward IMF the unified positive PCS and PCN indices are well consistent with one another in their value and behavior and linearly correlate with the solar wind merging electric field (MEF), irrespective of season. The IMF BY component is responsible for occurrence of the electric field MEF (and positive PC index) under conditions B-Z &gt; 0. Being proportional to MEF the PC index would be regarded as a measure of the interplanetary merging (geoeffective) electric field with the appropriate dimensionality of mV/m.</t>
  </si>
  <si>
    <t>Arctic &amp; Antarctic Res Inst, St Petersburg 199397, Russia; Danish Meteorol Inst, DK-2100 Copenhagen, Denmark</t>
  </si>
  <si>
    <t>Arctic &amp; Antarctic Research Institute; Danish Meteorological Institute DMI</t>
  </si>
  <si>
    <t>Troshichev, O (corresponding author), Arctic &amp; Antarctic Res Inst, St Petersburg 199397, Russia.</t>
  </si>
  <si>
    <t>olegtro@aari.nw.ru</t>
  </si>
  <si>
    <t>MAY 24</t>
  </si>
  <si>
    <t>A05208</t>
  </si>
  <si>
    <t>10.1029/2005JA011402</t>
  </si>
  <si>
    <t>049VL</t>
  </si>
  <si>
    <t>WOS:000238045500001</t>
  </si>
  <si>
    <t>Stickley, CE; Pike, J; Leventer, A</t>
  </si>
  <si>
    <t>Stickley, C. E.; Pike, J.; Leventer, A.</t>
  </si>
  <si>
    <t>Productivity events of the marine diatom Thalassiosira tumida (Janisch) Hasle recorded in deglacial varves from the East Antarctic Margin</t>
  </si>
  <si>
    <t>diatom productivity events; couplet laminations; East Antarctic Margin; deglaciation</t>
  </si>
  <si>
    <t>ROSS SEA; SEDIMENTS; SHELF; ASSEMBLAGES; FACIES; OCEAN; LIGHT</t>
  </si>
  <si>
    <t>During the last deglaciation calving bay reentrants formed over several deep inner shelf basins around Antarctica as the ice sheets retreated. Marine diatoms flourished in spring and summer within the bays, providing exceptionally high silica flux rates to the basins on an annual basis. As a result, several hundred years of the late deglaciation are archived in many of these deep basins as continuously laminated diatom-rich marine sediments. The laminae are excellently preserved and offer a unique opportunity to study deglacial processes over the Antarctic shelf at very high resolution (subseasonal to seasonal at best). Annual palaeo-environments from these sediments have been recently reconstructed. However, finer sedimentary detail is also apparent by the preservation of sublaminae of single diatom species, which represent discrete productivity events (blooms). In this paper, we focus on Thalassiosira tumida (Janisch) Hasle sublaminae preserved in the similar to 5 in thick deglacial laminated sequence of NBP01-01 Jumbo Piston Core (JPC) 43B from Iceberg Alley (similar to 67 degrees S, 63 degrees E) on the Mac.Robertson Shelf, East Antarctic Margin. These T tumida sublaminae are distinctive, occur several times throughout the deglacial sequence and are always preserved within summer laminae. Importantly they carry ecological and paleoceanographic information for deglacial Iceberg Alley and possibly the entire East Antarctic Margin. We describe and illustrate the T tumida sublaminae using scanning electron microscope backscattered electron imagery of highly polished thin sections and secondary electron imagery of sublamina fracture surfaces. T tumida sublaminae range in thickness from 0.57 to 21.07 mm (mean=5.12; sigma=4.49) and are defined as discrete sedimentary intervals within a summer lamination where T tumida is the dominant diatom species (abundance N 50%; but frequently N 80%) or is very abundant (abundance 40% to 49%). Based on the stratigraphic position of these sublaminae in the annual/seasonal succession and on published morphological, ecological and distributional data of living specimens in culture and in the field, we surmise an openwater, late summer bloom for T tumida in deglacial Iceberg Alley, at sea-surface temperatures of 0 to -1.69 degrees C, under low or fading light levels just prior to significant sea-ice formation. We suggest that the sublaminae formed by a combination of episodic T tumida blooms (surface concentration), followed by rapid deposition (high flux) and optimal frustule preservation on the sea floor. Increased sublaminae frequency upcore suggests a lengthening of the summer season, while their complete cessation 43 years prior to the end of lamination deposition in outer Iceberg Alley (JPC43B) may be due to a coastward population shift. (c) 2006 Elsevier B.V. All rights reserved.</t>
  </si>
  <si>
    <t>Cardiff Univ, Sch Earth Ocean &amp; Planetary Sci, Cardiff CF10 3YE, Wales; Colgate Univ, Dept Geol, Hamilton, NY 13346 USA</t>
  </si>
  <si>
    <t>Cardiff University; Colgate University</t>
  </si>
  <si>
    <t>Stickley, CE (corresponding author), Norwegian Polar Res Inst, Polar Environm Ctr, N-9296 Tromso, Norway.</t>
  </si>
  <si>
    <t>catherine.stickley@npolar.no</t>
  </si>
  <si>
    <t>Pike, Jennifer/0000-0001-9415-6003; Leventer, Amy/0000-0001-9401-0987</t>
  </si>
  <si>
    <t>10.1016/j.marmicro.2006.02.009</t>
  </si>
  <si>
    <t>046MN</t>
  </si>
  <si>
    <t>WOS:000237815800004</t>
  </si>
  <si>
    <t>Deckert, R; Michael, KJ</t>
  </si>
  <si>
    <t>Deckert, R.; Michael, K. J.</t>
  </si>
  <si>
    <t>Lensing effect on underwater levels of UV radiation</t>
  </si>
  <si>
    <t>OCEANIC WATERS; SURFACE-WAVES; SEA; PHYTOPLANKTON</t>
  </si>
  <si>
    <t>[ 1] In the austral spring/summer the Antarctic ozone hole can cause enhanced UVB radiation events in the photic zone of the Southern Ocean. If these events coincide with rich shallow-water algal blooms in the marginal ice zone, a high mortality rate can result. The contribution to the sub-surface radiation field of UVB light flashes created through the focusing of collimated solar radiation by surface waves is sought. A three-dimensional Monte Carlo model with cyclic boundaries was developed to investigate the intensity and temporal characteristics of UVB light flashes. The model accounts for reflection, refraction, absorption and scattering of photons, and is based on a data set of ocean optical properties from 280 to 700 nm. The model includes the effect of biogenic particles and covarying yellow substance. Model runs were performed with collimated light for both 350 and 300 nm. Runs for a flat ocean surface revealed a rapid increase of statistical fluctuations ( noise) with depth. This increase was more pronounced at 300 nm. Model runs with sinusoidal surface waves showed significant light flashes which were stronger and penetrated more deeply at 350 nm. At 300 nm, the flashes could exceed the collimated part of surface irradiance for 25% of the time, but were negligible at depths greater than 3.7 m. Small sinusoidal waves produced a more intense focus at a shallower depth than larger sinusoidal waves of the same steepness. Model runs with a more complex ocean surface were less conclusive, as the light flashes were disguised by variations in the water elevation.</t>
  </si>
  <si>
    <t>German Aerosp Ctr, Inst Atmospher Phys, D-82230 Wessling, Germany; Univ Tasmania, Inst Antarctic &amp; So Ocean Studies, Hobart, Tas 7001, Australia; Antarctic Climate &amp; Ecosyst Cooperat Res Ctr, Hobart, Tas 7001, Australia</t>
  </si>
  <si>
    <t>Helmholtz Association; German Aerospace Centre (DLR); University of Tasmania; Antarctic Climate &amp; Ecosystems Cooperative Research Centre (ACE CRC)</t>
  </si>
  <si>
    <t>Deckert, R (corresponding author), German Aerosp Ctr, Inst Atmospher Phys, Postfach 1116, D-82230 Wessling, Germany.</t>
  </si>
  <si>
    <t>rudolf.deckert@dlr.de; kelvin.michael@utas.edu.au</t>
  </si>
  <si>
    <t>Michael, Kelvin/J-7217-2014</t>
  </si>
  <si>
    <t>Michael, Kelvin/0000-0002-5427-7393</t>
  </si>
  <si>
    <t>MAY 20</t>
  </si>
  <si>
    <t>C05014</t>
  </si>
  <si>
    <t>10.1029/2005JC003332</t>
  </si>
  <si>
    <t>049IA</t>
  </si>
  <si>
    <t>WOS:000238008500005</t>
  </si>
  <si>
    <t>D'Amico, S; Sohier, JS; Feller, G</t>
  </si>
  <si>
    <t>D'Amico, S.; Sohier, J. S.; Feller, G.</t>
  </si>
  <si>
    <t>Kinetics and energetics of ligand binding determined by microcalorimetry:: Insights into active site mobility in a psychrophilic α-amylase</t>
  </si>
  <si>
    <t>JOURNAL OF MOLECULAR BIOLOGY</t>
  </si>
  <si>
    <t>extremophiles; psychrophiles; microcalorimetry; isothermal titration calorimetry</t>
  </si>
  <si>
    <t>ISOTHERMAL TITRATION CALORIMETRY; ALTEROMONAS-HALOPLANCTIS; COLD ADAPTATION; METHANOCOCCOIDES-BURTONII; TEMPERATURE ADAPTATION; STABILITY; ENZYMES; CHLORIDE; INHIBITOR; BACTERIUM</t>
  </si>
  <si>
    <t>A new microcalorimetric method for recording the kinetic parameters k(cat)/K-m and K-i of alpha-amylases using polysaccharides and oligosaccharides as substrates is described. This method is based on the heat released by glycosidic bond hydrolysis. The method has been developed to study the active site properties of the cold-active alpha-amylase produced by an Antarctic psychrophilic bacterium in comparison with its closest structural homolog from pig pancreas. It is shown that the psychrophilic a-amylase is more active on large macromolecular substrates and that the higher rate constants k(cat) are gained at the expense of a lower affinity for the substrate. The active site is able to accommodate larger inhibitory complexes, resulting in a mixed-type inhibition of starch hydrolysis by maltose. A method for recording the binding enthalpies by isothermal titration calorimetry in a low-affinity system has been developed, allowing analysis of the energetics of weak ligand binding using the allosteric activator chloride. It is shown that the low affinity of the psychrophilic a-amylase for chloride is entropically driven. The high enthalpic and entropic contributions of activator binding suggest large structural fluctuations between the free and the bound states of the cold-active enzyme. The kinetic and thermodynamic data for the psychrophilic a-amylase indicate that the strictly conserved side-chains involved in substrate binding and catalysis possess an improved mobility, responsible for activity in the cold, and resulting from the disappearance of stabilizing interactions far from the active site. (c) 2006 Elsevier Ltd. All rights reserved.</t>
  </si>
  <si>
    <t>Univ Liege, Inst Chem B6a, Biochem Lab, B-4000 Liege, Belgium</t>
  </si>
  <si>
    <t>University of Liege</t>
  </si>
  <si>
    <t>Feller, G (corresponding author), Univ Liege, Inst Chem B6a, Biochem Lab, B-4000 Liege, Belgium.</t>
  </si>
  <si>
    <t>gfeller@ulg.ac.be</t>
  </si>
  <si>
    <t>ACADEMIC PRESS LTD- ELSEVIER SCIENCE LTD</t>
  </si>
  <si>
    <t>0022-2836</t>
  </si>
  <si>
    <t>1089-8638</t>
  </si>
  <si>
    <t>J MOL BIOL</t>
  </si>
  <si>
    <t>J. Mol. Biol.</t>
  </si>
  <si>
    <t>MAY 19</t>
  </si>
  <si>
    <t>10.1016/j.jmb.2006.03.004</t>
  </si>
  <si>
    <t>Biochemistry &amp; Molecular Biology</t>
  </si>
  <si>
    <t>044RI</t>
  </si>
  <si>
    <t>WOS:000237689600010</t>
  </si>
  <si>
    <t>Pollard, R; Tréguer, P; Read, J</t>
  </si>
  <si>
    <t>Pollard, Raymond; Treguer, Paul; Read, Jane</t>
  </si>
  <si>
    <t>Quantifying nutrient supply to the Southern Ocean</t>
  </si>
  <si>
    <t>BIOGENIC SILICA; ORGANIC-CARBON; WIND STRESS; CIRCULATION; PHYTOPLANKTON; VORTICITY; FLUXES</t>
  </si>
  <si>
    <t>[1] Using nutrient concentrations on neutral density surfaces in the Southern Ocean and climatological winds, both of which are fairly well constrained, we have estimated the long-term average of net export from the upper ocean (i.e., the net supply of nutrients in Circumpolar Deep Water and Antarctic Intermediate Water to the surface layer) over the whole of the Southern Ocean south of the wind stress maximum at an average latitude of 50 degrees S. We calculate net new production ( equivalent to export production) values of 51 +/- 3 Tmol Si yr(-1) and 14 +/- 3 Tmol N yr(-1). The latter is equivalent to 1.1 +/- 0.2 Pg C yr(-1) when scaled with the Redfield ratio of C to N. These values are in good agreement with recent observational and modeling estimates and are reasonably in line with inverse model calculations. Interpolating the high-quality data from meridional World Ocean Circulation Experiment sections onto the neutral density surfaces revealed remarkable constancy of nutrient concentrations at all longitudes and depths below about 340 +/- 100 m, which we call the surface-influenced depth. This indicates that isopycnic stirring by eddies in the Southern Ocean is efficient at homogenizing nutrient concentrations and removing any signature of remineralization. The large depth of the surface-influenced depth, over twice the winter mixed layer depth, also indicates that eddies must be responsible for transferring nutrient deficits resulting from drawdown in the surface layer across the pycnocline to several hundred meters deep.</t>
  </si>
  <si>
    <t>Univ Southampton, Natl Oceanog Ctr, Southampton SO14 3ZH, Hants, England; Univ Bretagne Occidentale, Inst Univ Europeen Mer, CNRS, F-29280 Plouzane, France</t>
  </si>
  <si>
    <t>NERC National Oceanography Centre; University of Southampton; Universite de Bretagne Occidentale; Institut Universitaire Europeen de la Mer (IUEM); Centre National de la Recherche Scientifique (CNRS)</t>
  </si>
  <si>
    <t>Pollard, R (corresponding author), Univ Southampton, Natl Oceanog Ctr, Waterfront Campus,European Way, Southampton SO14 3ZH, Hants, England.</t>
  </si>
  <si>
    <t>rtp@noc.soton.ac.uk</t>
  </si>
  <si>
    <t>Treguer, Paul/H-6064-2012</t>
  </si>
  <si>
    <t>MAY 17</t>
  </si>
  <si>
    <t>C05011</t>
  </si>
  <si>
    <t>10.1029/2005JC003076</t>
  </si>
  <si>
    <t>049HV</t>
  </si>
  <si>
    <t>WOS:000238008000001</t>
  </si>
  <si>
    <t>Reid, IM; Holdsworth, DA; Morris, RJ; Murphy, DJ; Vincent, RA</t>
  </si>
  <si>
    <t>Reid, Iain M.; Holdsworth, David A.; Morris, Ray J.; Murphy, Damian J.; Vincent, Robert A.</t>
  </si>
  <si>
    <t>Meteor observations using the Davis mesosphere-stratosphere-troposphere radar</t>
  </si>
  <si>
    <t>RADIANT DISTRIBUTIONS; RESPONSE FUNCTION; ANTARCTICA; ECHOES; FLUX; 69-DEGREES-S; 78-DEGREES-E; VARIABILITY; MIDDLE; WIND</t>
  </si>
  <si>
    <t>[ 1] The Davis mesosphere-stratosphere-troposphere (MST) radar ( 69 degrees S, 78 degrees E) was installed in February 2003. Although the primary interest is the observation of polar mesosphere summer echoes, external transmit and receive antennas were installed to allow all-sky interferometric meteor radar observations. This paper presents the first results from the meteor observations. The annual count rate variation shows good agreement with previous high-latitude observations, peaking in midsummer and minimizing in early spring. The height distribution shows significant annual variation, with minimum ( maximum) peak heights and maximum ( minimum) widths observed in early spring ( midsummer). Radiant mapping has been used to identify the Southern delta-Aquarid Sagittariid and July Phoenicid meteor showers, and to investigate sources of sporadic meteors. Winds and temperatures derived from the meteor observations are also presented, showing good agreement with independent colocated measurements. There is some indication that the winds below the peak height of the meteor height distribution are smeared to lower heights, which may be indicative of a previously undocumented bias in meteor wind estimates.</t>
  </si>
  <si>
    <t>Univ Adelaide, Dept Phys, Adelaide, SA, Australia; ATRAD Pty Ltd, Thebarton, SA, Australia; Australian Antarctic Div, Kingston, Tas 7050, Australia</t>
  </si>
  <si>
    <t>University of Adelaide; ATRAD Pty Ltd.; Australian Antarctic Division</t>
  </si>
  <si>
    <t>Reid, IM (corresponding author), Univ Adelaide, Dept Phys &amp; Math Phys, Adelaide, SA 5005, Australia.</t>
  </si>
  <si>
    <t>dholdsworth@atrad.com.au</t>
  </si>
  <si>
    <t>Reid, Iain/B-5681-2012; Vincent, Robert A/E-5450-2013</t>
  </si>
  <si>
    <t>Reid, Iain/0000-0003-2340-9047; Vincent, Robert A/0000-0001-6559-6544; Murphy, Damian/0000-0003-1738-5560</t>
  </si>
  <si>
    <t>A05305</t>
  </si>
  <si>
    <t>10.1029/2005JA011443</t>
  </si>
  <si>
    <t>049JV</t>
  </si>
  <si>
    <t>WOS:000238013300001</t>
  </si>
  <si>
    <t>Rutberg, RL; Peacock, SL</t>
  </si>
  <si>
    <t>Rutberg, Randye L.; Peacock, Synte L.</t>
  </si>
  <si>
    <t>High-latitude forcing of interior ocean δ13C</t>
  </si>
  <si>
    <t>ANTARCTIC BOTTOM WATER; LAST GLACIAL MAXIMUM; NORTH-ATLANTIC CIRCULATION; SOUTHERN-OCEAN; DEEP-WATER; CARBON-ISOTOPE; THERMOHALINE CIRCULATION; WESTERN ATLANTIC; TRANSIT-TIME; SEA-ICE</t>
  </si>
  <si>
    <t>[ 1] Transit time distribution probability density functions (TTDs) are used to investigate the possible role of changing boundary conditions in driving the delta C-13 signal in the interior of a steady state ocean. We use idealized examples to investigate the general question of how a conservative tracer propagates from the surface ocean to interior ocean and to illustrate how a given tracer boundary signal will be filtered'' with increasing distance from its source region. We show that tracers in the deep southeast Atlantic Ocean will respond much more strongly to changes in the surface Southern Ocean than to changes in the high-latitude North Atlantic, while the opposite is true for waters at intermediate depths. The impact of a change in the Southern Ocean surface delta C-13 on a profile from the western South Atlantic is estimated using model-derived transit time distributions, and it is shown that significant deep ocean delta C-13 variations can be expected on glacial-interglacial timescales, even under a steady state circulation regime. Records of delta C-13 from the high-latitude North Atlantic and Southern Ocean are used as a proxy for glacial-interglacial changes in the surface ocean boundary condition in regions of deepwater formation. By convolving these high-latitude boundary conditions with model-derived TTDs, we are able to explain a significant part of the observed variability in benthic delta C-13 records spanning the last glacial cycle(s) from locations as diverse as the equatorial Atlantic Ocean, the Cape Basin, and the equatorial Pacific. This suggests that changing boundary conditions may be driving a significant fraction of benthic delta C-13 variability previously attributed to changes in ocean circulation. Furthermore, we show that our results predict a slightly higher delta C-13 than observed in high-productivity regions, consistent with the concept of a productivity-induced low-delta C-13 overprint.</t>
  </si>
  <si>
    <t>CUNY Hunter Coll, Dept Geog, New York, NY 10021 USA; Univ Chicago, Dept Geophys Sci, Chicago, IL 60615 USA</t>
  </si>
  <si>
    <t>City University of New York (CUNY) System; Hunter College (CUNY); University of Chicago</t>
  </si>
  <si>
    <t>Rutberg, RL (corresponding author), CUNY Hunter Coll, Dept Geog, 695 Pk Ave, New York, NY 10021 USA.</t>
  </si>
  <si>
    <t>randye.rutberg@hunter.cuny.edu; synte@geosci.uchicago.edu</t>
  </si>
  <si>
    <t>PA2012</t>
  </si>
  <si>
    <t>10.1029/2005PA001226</t>
  </si>
  <si>
    <t>049KJ</t>
  </si>
  <si>
    <t>WOS:000238014800001</t>
  </si>
  <si>
    <t>Maze, G; D'Andrea, F; de Verdiere, AC</t>
  </si>
  <si>
    <t>Maze, Guillaume; D'Andrea, Fabio; de Verdiere, Alain Colin</t>
  </si>
  <si>
    <t>Low-frequency variability in the Southern Ocean region in a simplified coupled model</t>
  </si>
  <si>
    <t>ANTARCTIC CIRCUMPOLAR WAVE; GENERAL-CIRCULATION MODELS; SEA-ICE EXTENT; SST ANOMALIES; SYNCHRONOUS VARIABILITY; HEMISPHERE ATMOSPHERE; SURFACE-TEMPERATURE; ANNULAR MODE; OSCILLATION WAVE; CLIMATE MODELS</t>
  </si>
  <si>
    <t>[ 1] Patterns of interannual variability of the ocean-atmosphere coupled system in the Southern Hemisphere extratropics are studied with a simple dynamical model in order to determine the basic physical processes of interaction independently of tropical forcing. The model used is an atmospheric quasi-geostrophic model coupled to a slab'' oceanic mixed layer, which includes mean geostrophic advection by the Antarctic Circumpolar Current (ACC). The ocean-atmosphere coupling occurs through surface heat fluxes and Ekman current heat advection. In a fully coupled simulation, the atmospheric part of the model, which includes high-frequency transient eddies at midlatitudes, exhibits a strong Southern Annular Mode (SAM) as the first mode of variability at interannual timescales. The SAM-related wind anomalies induce Ekman currents in the mixed layer which produce sea surface temperature anomalies. These are then advected along by the ACC. A forced mechanism where the ocean role is reduced to advect the sea surface temperature (SST) appears sufficient to reproduce the main features of the variability. Nevertheless, a positive feedback of the ocean was also found. It operates through anomalous Ekman currents heat advection and contributes to the maintenance of the SST anomaly.</t>
  </si>
  <si>
    <t>Univ Bretagne Occidentale, UFR Sci, Lab Phys Oceans, F-29238 Brest 3, France; Meteorol Dynam Lab, F-75231 Paris 05, France</t>
  </si>
  <si>
    <t>Centre National de la Recherche Scientifique (CNRS); Ifremer; Institut de Recherche pour le Developpement (IRD); Universite de Bretagne Occidentale; Sorbonne Universite</t>
  </si>
  <si>
    <t>Maze, G (corresponding author), Univ Bretagne Occidentale, UFR Sci, Lab Phys Oceans, 6 Ave Gorgeu CS 93837, F-29238 Brest 3, France.</t>
  </si>
  <si>
    <t>gmaze@univ-brest.fr</t>
  </si>
  <si>
    <t>Maze, Guillaume/AAB-4078-2019</t>
  </si>
  <si>
    <t>Maze, Guillaume/0000-0001-7231-2095; D'Andrea, Fabio/0000-0002-6249-3168</t>
  </si>
  <si>
    <t>MAY 16</t>
  </si>
  <si>
    <t>C05010</t>
  </si>
  <si>
    <t>10.1029/2005JC003181</t>
  </si>
  <si>
    <t>049HT</t>
  </si>
  <si>
    <t>WOS:000238007800001</t>
  </si>
  <si>
    <t>Giribet, G; Okusu, A; Lindgren, AR; Huff, SW; Schrödl, M; Nishiguchi, MK</t>
  </si>
  <si>
    <t>Giribet, Gonzalo; Okusu, Akiko; Lindgren, Annie R.; Huff, Stephanie W.; Schroedl, Michael; Nishiguchi, Michele K.</t>
  </si>
  <si>
    <t>Evidence for a clade composed of molluscs with serially repeated structures:: Monoplacophorans are related to chitons</t>
  </si>
  <si>
    <t>Antarctica; deep sea; Mollusca; monoplacophora; phylogeny</t>
  </si>
  <si>
    <t>MULTIPLE-SEQUENCE ALIGNMENT; LARGE-SUBUNIT; PHYLOGENY; APLACOPHORA; POLYPLACOPHORA; RECONSTRUCTION; MORPHOLOGY; SCAPHOPODA; EVOLUTION; ORIGIN</t>
  </si>
  <si>
    <t>Monoplacophorans are among the rarest members of the phylum Mollusca. Previously only known from fossils since the Cambrian, the first living monoplacophoran was discovered during the famous second Galathea deep-sea expedition. The anatomy of these molluscs shocked the zoological community for presenting serially repeated gills, nephridia, and eight sets of dorsoventral pedal retractor muscles. Seriality of organs in supposedly independent molluscan lineages, i.e., in chitons and the deep-sea living fossil monoplacophorans, was assumed to be a relict of ancestral molluscan segmentation and was commonly accepted to support a direct relationship with annelids. We were able to obtain one specimen of a monoplacophoran Antarctic deep-sea species for molecular study. The first molecular data on monoplacophorans, analyzed together with the largest data set of molluscs ever assembled, clearly illustrate that monoplacophorans and chitons form a clade. This Serialia concept may revolutionize molluscan systematics and may have important implications for metazoan evolution as it allows for new interpretations for primitive segmentation in molluscs.</t>
  </si>
  <si>
    <t>Harvard Univ, Dept Organism &amp; Evolutionary Biol, Cambridge, MA 02138 USA; Harvard Univ, Museum Comparat Zool, Cambridge, MA 02138 USA; New Mexico State Univ, Dept Biol, Las Cruces, NM 88003 USA; Zool Staatssammlung Munchen, D-81247 Munich, Germany</t>
  </si>
  <si>
    <t>Harvard University; Harvard University; New Mexico State University</t>
  </si>
  <si>
    <t>Giribet, G (corresponding author), Harvard Univ, Dept Organism &amp; Evolutionary Biol, 16 Divin Ave,BioLabs 1119, Cambridge, MA 02138 USA.</t>
  </si>
  <si>
    <t>ggiribet@oeb.harvard.edu</t>
  </si>
  <si>
    <t>Giribet, Gonzalo/P-1086-2015</t>
  </si>
  <si>
    <t>Giribet, Gonzalo/0000-0002-5467-8429</t>
  </si>
  <si>
    <t>10.1073/pnas.0602578103</t>
  </si>
  <si>
    <t>046UF</t>
  </si>
  <si>
    <t>WOS:000237835900036</t>
  </si>
  <si>
    <t>Fourré, E; Jean-Baptiste, P; Dapoigny, A; Baumier, D; Petit, JR; Jouzel, J</t>
  </si>
  <si>
    <t>Fourre, Elise; Jean-Baptiste, Philippe; Dapoigny, Arnaud; Baumier, Dominique; Petit, Jean-Robert; Jouzel, Jean</t>
  </si>
  <si>
    <t>Past and recent tritium levels in Arctic and Antarctic polar caps</t>
  </si>
  <si>
    <t>tritium; ice core; Antarctica; Greenland</t>
  </si>
  <si>
    <t>SNOW-ACCUMULATION; EAST ANTARCTICA; NATURAL TRITIUM; WATER-VAPOR; DOME-C; ATMOSPHERE; FALLOUT; HELIUM; LAND; FIRN</t>
  </si>
  <si>
    <t>Tritium concentration was measured in snow deposited at the GRIP site (central Greenland) and at the Vostok station (east Antarctica) from snow pits covering the period 1980-1990. The objective of the study was to investigate tritium concentrations in polar regions several decades after the bomb peak of the sixties and to put them in the context of available data for environmental tritium in the Arctic and the Antarctic over the last five decades. The tritium content of the samples was measured by mass spectrometry using the helium-3 regrowth method. In Antarctica, the tritium concentrations are in the range 70-110 TU. The comparison of the bomb tritium history at different locations show that tritium levels increase moving inland, where vapour pressure becomes extremely low and therefore more sensitive to the intrusion of stratospheric air masses highly enriched in tritium. Although most tritium fallout occurred in the Northern hemisphere, the tritium levels in central Greenland in the 80's, in the range 10-40 TU, are significantly lower than at Vostok. Unlike Antarctica, no such continental effect is observed in Greenland, due to the higher water vapour content of the air masses, as evidenced by the much higher snow accumulation rate. Whereas tritium fallout in Antarctica appears to occur as a result of direct injections of stratospheric tritium during winter, Arctic fallout are the result of the dominant spring injection of stratospheric air at mid-latitude, in line with the deposition of other stratospheric tracers. (c) 2006 Elsevier B.V. All rights reserved.</t>
  </si>
  <si>
    <t>CEA Saclay, CNRS, UMR 1572, LSCE,IPSL, F-91191 Gif Sur Yvette, France; Lab Glaciol &amp; Geophys Environm, CNRS, F-38402 St Martin Dheres, France</t>
  </si>
  <si>
    <t>Universite Paris Saclay; Universite Paris Cite; CEA; Centre National de la Recherche Scientifique (CNRS); Centre National de la Recherche Scientifique (CNRS)</t>
  </si>
  <si>
    <t>Jean-Baptiste, P (corresponding author), CEA Saclay, CNRS, UMR 1572, LSCE,IPSL, F-91191 Gif Sur Yvette, France.</t>
  </si>
  <si>
    <t>Philippe.Jean-Baptiste@cea.fr</t>
  </si>
  <si>
    <t>Fourre, Elise/H-8066-2013</t>
  </si>
  <si>
    <t>MAY 15</t>
  </si>
  <si>
    <t>10.1016/j.epsl.2006.03.003</t>
  </si>
  <si>
    <t>057MY</t>
  </si>
  <si>
    <t>WOS:000238601100006</t>
  </si>
  <si>
    <t>Cogné, JP; Humler, E; Courtillot, V</t>
  </si>
  <si>
    <t>Cogne, Jean-Pascal; Humler, Eric; Courtillot, Vincent</t>
  </si>
  <si>
    <t>Mean age of oceanic lithosphere drives eustatic sea-level change since Pangea breakup</t>
  </si>
  <si>
    <t>oceans; sealevel; eustacy; global changes; Pangea breakup</t>
  </si>
  <si>
    <t>MONGOL-OKHOTSK OCEAN; POLAR WANDER; EVOLUTION; RECONSTRUCTIONS; STRATIGRAPHY; CHRONOLOGY; PLATES; DEPTH; MODEL; RATES</t>
  </si>
  <si>
    <t>The Atlantic and Indian Oceans and the oceanic part of the Antarctic plate have formed at the expense of Panthalassa as a result of Pangea breakup over the last 180 Myr. This major plate reorganization has changed the age vs. surface distribution of oceanic lithosphere and has been a likely driver of sea-level change. Assuming that the age/surface structure of Panthalassa has remained similar to the present-day global distribution from 180 Ma to Present, and using the isochron patterns preserved in the newly formed oceans, we model resulting relative sea-level change. We find a first (slower) phase of sea-level rise (by 90 to I 10 m), culminating between 120 and 50 Ma, followed by a (faster) phase of sea-level drop. We show that this result is not strongly sensitive to our hypothesis of constant mean age of Panthalassa, for which much of the information is now erased due to subduction. When the effects of oceanic plateau formation and ice cap development are added, the predicted sea-level curve fits remarkably well the first-order variations of observed sea-level change. We conclude that the changes in mean age of the oceanic lithosphere (varying between 56 and 62 +/- 0.2 Myr), which are simply the expression of the Wilson cycle following Pangea breakup, are the main control, accounting for similar to 70%, of first-order changes in sea-level. (c) 2006 Elsevier B.V. All rights reserved.</t>
  </si>
  <si>
    <t>Inst Phys Globe, Equipe Paleomagnetisme, F-75252 Paris 05, France; Univ Paris 07, F-75252 Paris 05, France; Univ Nantes, Lab Planetol &amp; Geodynam, F-44322 Nantes 3, France</t>
  </si>
  <si>
    <t>Universite Paris Cite; Universite Paris Cite; Nantes Universite</t>
  </si>
  <si>
    <t>Cogné, JP (corresponding author), Inst Phys Globe, Equipe Paleomagnetisme, 4 Pl Jussieu, F-75252 Paris 05, France.</t>
  </si>
  <si>
    <t>cogne@ipgp.jussieu.fr; Eric.Humler@univ-nantes.fr</t>
  </si>
  <si>
    <t>Cogne, Jean-Pascal/G-7296-2011; Courtillot, Vincent E/C-8007-2011</t>
  </si>
  <si>
    <t>10.1016/j.epsl.2006.03.020</t>
  </si>
  <si>
    <t>WOS:000238601100010</t>
  </si>
  <si>
    <t>Osterberg, EC; Handley, MJ; Sneed, SB; Mayewski, PA; Kreutz, KJ</t>
  </si>
  <si>
    <t>Continuous ice core melter system with discrete sampling for major ion, trace element, and stable isotope analyses</t>
  </si>
  <si>
    <t>ENVIRONMENTAL SCIENCE &amp; TECHNOLOGY</t>
  </si>
  <si>
    <t>PLASMA-MASS-SPECTROMETRY; HEAVY-METALS; ONLINE DETERMINATION; CENTRAL GREENLAND; ANTARCTIC ICE; POLAR ICE; SNOW; WATER; LEAD; RESOLUTION</t>
  </si>
  <si>
    <t>We present a novel ice/firn core melter system that uses fraction collectors to collect discrete, high-resolution (&lt; 1 cm/sample possible), continuous, coregistered meltwater samples for analysis of eight major ions by ion chromatography (IC), &gt; 32 trace elements by inductively coupled plasma sector field mass spectrometry (ICP-SMS), and stable oxygen and hydrogen isotopes by isotope ratio mass spectrometry (IRMS). The new continuous melting with discrete sampling (CMDS) system preserves an archive of each sample, reduces the problem of incomplete particle dissolution in ICP-SMS samples, and provides more precise trace element data than previous ice melter models by using longer ICP-SMS scan times and washing the instrument between samples. CMDS detection limits are similar to or lower than those published for ice melter systems coupled directly to analytical instruments and are suitable for analyses of polar and mid-low-latitude ice cores. Analysis of total calcium and sulfur by ICP-SMS and calcium ion, sulfate, and methanesulfonate by IC from the Mt. Logan Prospector-Russell Col ice core confirms data accuracy and coregistration of the split fractions from each sample. The reproducibility of all data acquired by the CMDS system is confirmed by replicate analyses of parallel sections of the GISP2 D ice core.</t>
  </si>
  <si>
    <t>Univ Maine, Climate Change Inst, Sawyer Environm Res Ctr, Orono, ME 04469 USA; Univ Maine, Dept Earth Sci, Orono, ME 04469 USA</t>
  </si>
  <si>
    <t>University of Maine System; University of Maine Orono; University of Maine System; University of Maine Orono</t>
  </si>
  <si>
    <t>Osterberg, EC (corresponding author), Univ Maine, Climate Change Inst, Sawyer Environm Res Ctr, Bryand Global Sci Bldg, Orono, ME 04469 USA.</t>
  </si>
  <si>
    <t>erich.osterberg@maine.edu</t>
  </si>
  <si>
    <t>Mayewski, Paul Andrew/HRD-6969-2023</t>
  </si>
  <si>
    <t>Osterberg, Erich/0000-0002-0675-1230</t>
  </si>
  <si>
    <t>AMER CHEMICAL SOC</t>
  </si>
  <si>
    <t>1155 16TH ST, NW, WASHINGTON, DC 20036 USA</t>
  </si>
  <si>
    <t>0013-936X</t>
  </si>
  <si>
    <t>ENVIRON SCI TECHNOL</t>
  </si>
  <si>
    <t>Environ. Sci. Technol.</t>
  </si>
  <si>
    <t>10.1021/es052536w</t>
  </si>
  <si>
    <t>Engineering, Environmental; Environmental Sciences</t>
  </si>
  <si>
    <t>Engineering; Environmental Sciences &amp; Ecology</t>
  </si>
  <si>
    <t>042JZ</t>
  </si>
  <si>
    <t>WOS:000237525500039</t>
  </si>
  <si>
    <t>Genge, MJ</t>
  </si>
  <si>
    <t>Igneous rims on micrometeorites</t>
  </si>
  <si>
    <t>ATMOSPHERIC ENTRY; ANTARCTIC MICROMETEORITES; FUSION CRUSTS; INTERPLANETARY DUST; COSMIC SPHERULES; MINERALOGY; METEORITES; COLLECTION; SPINELS</t>
  </si>
  <si>
    <t>Melting of micrometeorites (MMs) due to atmospheric entry heating causes significant changes in the textures, mineralogies and compositions of particles that obscure their primary properties and greatly complicate interpretation of these extraterrestrial materials. Despite the abundance of melted MMs, the nature of melting processes in these materials is poorly constrained. In this study, mineralogical, textural, and compositional data on 77 MMs with igneous rims are presented, which suggest that fusion of micrometeorites during atmospheric entry occurs initially by surface melting. Textural and mineralogical evidence are presented that demonstrate unequivocally that igneous rims crystallized from a melt surrounding a largely unmelted core and establish melting as a gradational process. The compositions of igneous rims on fine-grained MMs (fgMMs) are broadly similar to those of the unmelted core except for depletions in volatile and moderately volatile elements produced by partial evaporation and suggest the formation of the rims by melting of the fine-grained matrix core. Enrichments in Fe/Si, Ni/Si, and Mn/Si in igneous rims compared with unmelted cores within fgMMs are suggested to occur due to the migration of Fe-S eutectic liquids from the core of the particle into the surface melt layer. The sulphide liquids are probably generated in the core of the particle under reducing conditions resulting by the pyrolysis of carbonaceous materials. The presence of igneous rims on fgMMs is enabled by the thermal decomposition of phyllosilicates and, therefore, indicates that fgMMs were hydrated particles prior to atmospheric entry. In contrast the compositions of igneous rims on coarse-grained MMs (cgMMs) are difficult to reconcile with those of the unmelted core and instead closely resemble those of fgMMs. The igneous rims of cgMMs are, therefore, suggested to form by melting of fine-grained matrix that was present on the exterior of these particles prior to atmospheric entry. Coarse-grained MMs with igneous rims thus were originally composite micrometeoroids, which consist of both fine-grained and coarse-grained materials, and are thought to be samples of chondrule-like objects. The abundance of composite MMs to cgMMs allows a first estimate of the mean chondrule radius within the parent bodies of MMs of similar to 625 mu m to be made. (c) 2006 Elsevier Inc. All rights reserved.</t>
  </si>
  <si>
    <t>Univ London Imperial Coll Sci Technol &amp; Med, IARC, Dept Earth Sci &amp; Engn, London SW7 2AZ, England; Nat Hist Museum, London SW7 2BT, England</t>
  </si>
  <si>
    <t>Imperial College London; Natural History Museum London; Natural History Museum London</t>
  </si>
  <si>
    <t>Genge, MJ (corresponding author), Univ London Imperial Coll Sci Technol &amp; Med, IARC, Dept Earth Sci &amp; Engn, Exhibit Rd, London SW7 2AZ, England.</t>
  </si>
  <si>
    <t>m.genge@imperial.ac.uk</t>
  </si>
  <si>
    <t>10.1016/j.gca.2006.02.005</t>
  </si>
  <si>
    <t>044QN</t>
  </si>
  <si>
    <t>WOS:000237687400012</t>
  </si>
  <si>
    <t>Douville, H</t>
  </si>
  <si>
    <t>Douville, H.</t>
  </si>
  <si>
    <t>Impact of regional SST anomalies on the Indian monsoon response to global warming in the CNRM climate model</t>
  </si>
  <si>
    <t>ASIAN SUMMER MONSOON; ANTARCTIC SEA-ICE; GREENHOUSE GASES; INTERANNUAL VARIABILITY; SNOW PARAMETERIZATION; INCREASING AMOUNTS; PRECIPITATION; GCM; SENSITIVITY; VALIDATION</t>
  </si>
  <si>
    <t>While transient climate change experiments with coupled atmosphere-ocean general circulation models undoubtedly represent the most comprehensive toot for studying the climate response to increasing concentrations of greenhouse gases (GHGs), less computationally expensive time-slice experiments with atmospheric GCMs are still useful to test the robustness of the projected climate change. In the present study, three sets of time-slice experiments with prescribed sea surface temperature (SST) are compared to a reference climate scenario obtained with the Centre National de Recherches Meteorologiques Coupled Climate Model (CCM). The main objective is to assess the sensitivity of the monsoon response to the magnitude or pattern of SST anomalies in two regions where such anomalies are highly model dependent, namely, the circumpolar Southern Ocean and the tropical Pacific Ocean. On the one hand, it is shown that the regional climate anomalies predicted by the CCM can be reproduced at least qualitatively by a pair of time-slice experiments in which the present-day SST biases of the CCM are removed. On the other hand, the results indicate that the Indian monsoon response to increasing amounts of GHG is sensitive to regional uncertainties in the prescribed SST warming. Increasing the sea surface warming in the southern high latitudes to compensate for the weak sea ice feedback simulated by the CCM around the Antarctic has a significant influence on the regional climate change simulated over India, through a perturbation of the regional Hadley circulation. Prescribing zonal mean rather than El Nino-like SST anomalies in the tropical Pacific has an even stronger impact on the monsoon response, through a modification of the Walker circulation. These results suggest that both deficiencies in simulating present-day climate (even at high latitudes) and uncertainties in the SST patterns caused by enhanced GHG concentrations (especially in the tropical Pacific) are major obstacles for predicting climate change at the regional scale.</t>
  </si>
  <si>
    <t>UDC, GMGE, CNRM, Meteo France, F-31057 Toulouse 01, France</t>
  </si>
  <si>
    <t>Douville, H (corresponding author), UDC, GMGE, CNRM, Meteo France, 42 Ave Coriolis, F-31057 Toulouse 01, France.</t>
  </si>
  <si>
    <t>herve.douville@meteo.fr</t>
  </si>
  <si>
    <t>Douville, Hervé/JXN-0710-2024</t>
  </si>
  <si>
    <t>10.1175/JCLI3727.1</t>
  </si>
  <si>
    <t>045YN</t>
  </si>
  <si>
    <t>WOS:000237778700007</t>
  </si>
  <si>
    <t>Sidell, BD; O'Brien, KM</t>
  </si>
  <si>
    <t>When bad things happen to good fish: the loss of hemoglobin and myoglobin expression in Antarctic icefishes</t>
  </si>
  <si>
    <t>hemoglobin; myoglobin; Antarctic icefish; nitric oxide; heart; circulation</t>
  </si>
  <si>
    <t>NITRIC-OXIDE SYNTHASE; ENDOTHELIAL GROWTH-FACTOR; SKELETAL-MUSCLE; MITOCHONDRIAL BIOGENESIS; CHIONODRACO-HAMATUS; CHAENOCEPHALUS-ACERATUS; BLOOD; HEART; EVOLUTION; GENE</t>
  </si>
  <si>
    <t>The Antarctic icefishes ( Family Channichthyidae) provide excellent examples of unique traits that can arise in a chronically cold and isolated environment. Their loss of hemoglobin (Hb) expression, and in some cases, loss of myoglobin (Mb) expression, has taught us much about the function of these proteins. Although absences of the proteins are fixed traits in icefishes, the losses do not appear to be of adaptive value. Contrary to some suggestions, loss of Hb has led to higher energetic costs for circulating blood, and losses of Mb have reduced cardiac performance. Moreover, losses of Hb and Mb have resulted in extensive modifications to the cardiovascular system to ensure adequate oxygen delivery to working muscles. Recent studies suggest that losses of Hb and Mb, and their associated nitric oxide (NO)-oxygenase activities, may have accelerated the development and evolution of these cardiovascular modifications. The high levels of NO that should occur in the absence of Hb and Mb have been shown in other animal groups to lead to an increase in tissue vascularization, an increase in the lumenal diameter of blood vessels, and an increase in mitochondrial densities. These characteristics are all hallmark traits of Antarctic icefishes. Homeostatic feedback mechanisms thus may have accelerated evolution of the pronounced cardiovascular traits of Antarctic icefishes.</t>
  </si>
  <si>
    <t>Univ Maine, Sch Marine Sci, Orono, ME 04469 USA; Univ Alaska Fairbanks, Inst Arctic Biol, Fairbanks, AK 99775 USA</t>
  </si>
  <si>
    <t>University of Maine System; University of Maine Orono; University of Alaska System; University of Alaska Fairbanks</t>
  </si>
  <si>
    <t>Univ Maine, Sch Marine Sci, 5751 Murray Hall, Orono, ME 04469 USA.</t>
  </si>
  <si>
    <t>bsidell@maine.edu</t>
  </si>
  <si>
    <t>10.1242/jeb.02091</t>
  </si>
  <si>
    <t>038QA</t>
  </si>
  <si>
    <t>WOS:000237236500007</t>
  </si>
  <si>
    <t>Young, JS; Peck, LS; Matheson, T</t>
  </si>
  <si>
    <t>The effects of temperature on peripheral neuronal function in eurythermal and stenothermal crustaceans</t>
  </si>
  <si>
    <t>neuronal conduction velocity; axon diameter; temperature compensation; crustacean; Antarctic; temperate; eurytherm; stenotherm</t>
  </si>
  <si>
    <t>OLFACTORY RECEPTOR NEURONS; CONDUCTION PROPERTIES; TURNOVER; ISOPOD; GROWTH; MYELIN; NERVE; SPEED; NEED</t>
  </si>
  <si>
    <t>To determine whether neuronal function in Antarctic crustaceans is adapted to the low and narrow range of temperatures at which these animals live, we have compared conduction velocities in the peripheral nervous systems of two temperate species, the decapod Carcinus maenas and the isopod Ligia oceanica, and two Antarctic species, the isopod Glyptonotus antarcticus and the amphipod Paraceradocus gibber. Neuronal conduction velocity differs among the species in the order C. maenas &gt; G. antarcticus &gt; P. gibber &gt; L. oceanica. When measured at the normal environmental temperatures characteristic of each species, conduction velocity of the Antarctic peracarid P. gibber is greater than that of its similar sized temperate relative L. oceanica, demonstrating complete thermal compensation. The temperate decapod C. maenas has a higher thermal dependence of neuronal conduction velocity than either of the Antarctic species, G. antarcticus and P. gibber, but the temperate L. oceanica does not. These data, when collated with published values, indicate that peracarid crustaceans (L. oceanica, G. antarcticus and P. gibber) have lower neuronal conduction velocities and a lower thermal dependence of neuronal conduction velocity than do other arthropods, irrespective of habitat. There is a linear dependence of conduction velocity on temperature down to -1.8 degrees C in all three species. Our data extend by more than 10 the lower range of temperatures at which conduction velocities have been tested systematically in previous studies. The upper thermal block of neuronal conduction is similar in C. maenas, G. antarcticus, P. gibber and L. oceanica at 24.5, 19.5, 21.5 and 19.5 degrees C, respectively. This suggests that failure to conduct action potentials is not what determines the mortality of Antarctic invertebrates at approximately 10 degrees C. The excitability of axons in the leg nerve of G. antarcticus is not affected by temperatures ranging from -1.8 to +18 degrees C. The responses of sensory neurones activated by movements of spines on the leg, however, are strongly modulated by temperature, with maximal responses at 5-10 degrees C; well above the normal environmental temperature range for the species. The responses fail at 20-22 degrees C. The number of large diameter axons (which produce the fast action potentials recorded in this study) is the same in L. oceanica and G. antarcticus, but the median axon diameter is greater in L. oceanica than G. antarcticus. In G. antarcticus, however, there are glial wrappings around some large (&gt; 5 mu m diameter) axons that may increase their conduction velocity. Such wrappings are not found in L. oceanica.</t>
  </si>
  <si>
    <t>Univ Oxford, Dept Pharmacol, Oxford OX1 3QT, England; Univ Cambridge, Dept Zool, Cambridge CB2 3EJ, England; British Antarctic Survey, Cambridge CB3 0ET, England</t>
  </si>
  <si>
    <t>University of Oxford; University of Cambridge; UK Research &amp; Innovation (UKRI); Natural Environment Research Council (NERC); NERC British Antarctic Survey</t>
  </si>
  <si>
    <t>Univ Oxford, Dept Pharmacol, Mansfield Rd, Oxford OX1 3QT, England.</t>
  </si>
  <si>
    <t>john.young@pharm.ox.ac.uk</t>
  </si>
  <si>
    <t>Young, John/J-2529-2013</t>
  </si>
  <si>
    <t>Young, John/0000-0002-2711-9701; Matheson, Thomas/0000-0002-6061-9038</t>
  </si>
  <si>
    <t>10.1242/jeb.02224</t>
  </si>
  <si>
    <t>WOS:000237236500023</t>
  </si>
  <si>
    <t>Massoli, P; Maturilli, M; Neuber, R</t>
  </si>
  <si>
    <t>Massoli, P.; Maturilli, M.; Neuber, R.</t>
  </si>
  <si>
    <t>Climatology of Arctic polar stratospheric clouds as measured by lidar in Ny-Alesund, Spitsbergen (79°N, 12°E)</t>
  </si>
  <si>
    <t>NORTHERN GREENLAND; LIQUID PARTICLES; WINTER 1991/92; PSC OCCURRENCE; AEROSOL; VORTEX; DENITRIFICATION; TEMPERATURES; GROWTH; COEXISTENCE</t>
  </si>
  <si>
    <t>[ 1] Polar stratospheric clouds (PSCs) are observed by lidar at the Koldewey Station in Ny-A lesund, Spitsbergen ( 79 degrees N, 12 degrees E). Here we present a PSC climatology for the period 1995/ 1996 - 2003/2004, when the Arctic stratosphere was not disturbed by the presence of volcanic aerosols. The study is restricted to only five of these winters, i.e., when the stratospheric temperatures over Spitsbergen were cold enough for PSC formation. The typical altitude range where PSCs are found is 20 - 24 km, with a downward shifting of the cloud altitude level occurring during the season. Liquid PSCs, the majority of the observations, are usually detected from mid-January onward; nitric acid trihydrate (NAT) is more frequent in early winter. Furthermore, NAT is generally located at lower altitudes than the liquid clouds. In this data set we rarely observe NAT enhanced PSCs, and ice clouds are entirely absent. In addition to the traditional PSC classification scheme ( types Ia/Ib and II) the detected clouds are distinguished according to their vertical thickness, and they are grouped in two categories ( thick and thin PSCs), as in a previous study performed on the Antarctic McMurdo PSC data set. The analysis reveals that in NyA lesund the spatial-temporal distribution of thick and thin PSCs corresponds to NAT and liquid cloud signatures, respectively. Comparison between the Ny-A lesund and the McMurdo PSC climatologies is also reported. In both records, thick and thin PSCs show similar altitude distribution, while discrepancies between the Arctic and Antarctic cases exist for the appearance of NAT and liquid PSCs during the polar winter.</t>
  </si>
  <si>
    <t>CNR, Inst Atmospher Sci &amp; Climate, Rome, Italy; Alfred Wegener Inst Polar &amp; Marine Res, D-14473 Potsdam, Germany</t>
  </si>
  <si>
    <t>Consiglio Nazionale delle Ricerche (CNR); Istituto di Scienze dell'Atmosfera e del Clima (ISAC-CNR); Helmholtz Association; Alfred Wegener Institute, Helmholtz Centre for Polar &amp; Marine Research</t>
  </si>
  <si>
    <t>Massoli, P (corresponding author), NOAA, Div Chem Sci, Earth Syst Res Lab, 325 Broadway, Boulder, CO 80305 USA.</t>
  </si>
  <si>
    <t>paola.massoli@noaa.gov</t>
  </si>
  <si>
    <t>Neuber, Roland/B-4923-2014; Maturilli, Marion/A-4344-2017</t>
  </si>
  <si>
    <t>Neuber, Roland/0000-0001-7382-7832; Maturilli, Marion/0000-0001-6818-7383</t>
  </si>
  <si>
    <t>MAY 13</t>
  </si>
  <si>
    <t>D9</t>
  </si>
  <si>
    <t>D09206</t>
  </si>
  <si>
    <t>10.1029/2005JD005840</t>
  </si>
  <si>
    <t>046GY</t>
  </si>
  <si>
    <t>WOS:000237800700002</t>
  </si>
  <si>
    <t>Walden, VP; Roth, WL; Stone, RS; Halter, B</t>
  </si>
  <si>
    <t>Walden, V. P.; Roth, W. L.; Stone, R. S.; Halter, B.</t>
  </si>
  <si>
    <t>Radiometric validation of the Atmospheric Infrared Sounder over the Antarctic Plateau</t>
  </si>
  <si>
    <t>EMITTED RADIANCE INTERFEROMETER; RADIATIVE-TRANSFER; COOLING RATES; TEMPERATURE; FLUXES; SPECTRORADIOMETER; AIRS/AMSU/HSB; BRIGHTNESS; ALGORITHM; DESIGN</t>
  </si>
  <si>
    <t>Validation of infrared satellite instruments, after they have been launched into orbit, has traditionally relied on views of the relatively warm sea surface. The Antarctic Plateau provides a complementary validation target from space because it is also homogeneous over large areas, yet it is relatively cold. During summer, cloud-free conditions occur often and the atmospheric humidity is very low with values of total column water vapor around 1 mm. Radiance validation experiments were conducted at Dome C, Antarctica (75 degrees S, 123 degrees E; 3280 m), in January 2003 and again in December 2003/January 2004 for the Atmospheric Infrared Sounder ( AIRS). The Polar Atmospheric Emitted Radiance Interferometer (PAERI) measured upwelling and downwelling infrared radiance at the surface during overpasses of NASA's Earth Observing System Aqua satellite. Radiosondes were launched coincidentally with many of these overpasses. These data are used to calculate the outgoing spectral radiance at the top of the atmosphere (TOA), which is then compared with spectral radiance measurements from AIRS in selected frequency bands. At the 95% confidence level, the brightness temperature differences are -0.12 +/- 0.24 K (M-07), -0.15 +/- 0.23 K (M-08), and -0.13 +/- 0.24 K (M-09). These results validate the AIRS radiances at low temperatures ( 230 to 250 K) relative to the TOA calculations between 788 and 973 cm(-1). The cold bias may be partially explained by subvisible or undetected clouds. Ground-based validation experiments over the Antarctic Plateau can yield valuable information about the low-radiance performance of infrared satellite instruments. However, one must use ground-based instruments with a large enough field of view to average over the significant radiance variations that exist across individual snow dunes. Validation of AIRS at low radiance is important because many of the geophysical parameters that are of scientific interest are actually retrieved from low radiance values, including upper tropospheric humidity and properties of high clouds.</t>
  </si>
  <si>
    <t>Univ Idaho, Dept Geog, Moscow, ID 83844 USA; Univ Colorado, Cooperat Inst Res Environm Sci, Boulder, CO 80309 USA; NOAA, Earth Syst Res Lab, Global Monitoring Div, Boulder, CO USA</t>
  </si>
  <si>
    <t>Idaho; University of Idaho; University of Colorado System; University of Colorado Boulder; National Oceanic Atmospheric Admin (NOAA) - USA</t>
  </si>
  <si>
    <t>Walden, VP (corresponding author), Univ Idaho, Dept Geog, 375 S Line St, Moscow, ID 83844 USA.</t>
  </si>
  <si>
    <t>vonw@uidaho.edu</t>
  </si>
  <si>
    <t>MAY 12</t>
  </si>
  <si>
    <t>D09S03</t>
  </si>
  <si>
    <t>10.1029/2005JD006357</t>
  </si>
  <si>
    <t>046GW</t>
  </si>
  <si>
    <t>WOS:000237800500003</t>
  </si>
  <si>
    <t>Heil, P</t>
  </si>
  <si>
    <t>Heil, P.</t>
  </si>
  <si>
    <t>Atmospheric conditions and fast ice at Davis, East Antarctica: A case study</t>
  </si>
  <si>
    <t>SEA-ICE; SOUTHERN-HEMISPHERE; TEMPERATURE-VARIATIONS; TRENDS; VARIABILITY; STRATOSPHERE; TROPOSPHERE; CLIMATE; OCEAN; MODEL</t>
  </si>
  <si>
    <t>We present in situ observations of atmospheric and fast-ice parameters at Davis (68 degrees 35'S, 77 degrees 58'E), East Antarctica. Surface measurements from 1969-2003 reveal negative trends for summer and autumn surface-air temperatures, yet positive annual, winter and spring trends. Mean sea level pressure decreased over the observational record both annually (-0.10 hPa yr(-1), significant at the 90% confidence level (90)) and seasonally. We mainly associate this with increased cyclonic activity. These trends reflect large-scale circulation changes identified by others in the troposphere and lower stratosphere. Temporal changes in the Davis landfast-ice characteristics are evaluated using in situ measurements from the late 1950s together with intermittent data from 1979 onward. There is large interannual variability in fast-ice characteristics, which peaked during the 1990s. Mean values of annual maximum ice thickness taken over subintervals have changed little. However, dates of annual maximum ice thickness and final fast-ice breakout are delayed (each by +0.43 d yr(-1)). Delays in ice breakout contribute to a prolonged persistence of the fast ice (+0.67 d yr(-1), (90)). Linear regression was applied to relate changes in fast- ice characteristics to those in the atmosphere. Significant at the 90% level or above are: Winter temperature and annual maximum ice thickness are anticorrelated (R-2 = -0.69); the tendency toward later dates of annual maximum ice thickness appears influenced by winter (R-2 = +0.47) and spring (R-2 = +0.42) warming. Interannual changes in spectral density of the (annual and summer, respectively) mean sea level pressure within the cyclone-active frequency band are crucial to annual maximum ice thickness (R-2 = -0.54) and fast- ice breakout (R-2 = -0.59). Maximum ice thickness is furthermore influenced by winter wind speed (R-2 = -0.52).</t>
  </si>
  <si>
    <t>Univ Tasmania, Dept Environm &amp; Heritage, Australian Antarctic Div, Antarctic CLimate &amp; Ecosyst Cooperat Res Ctr Tasm, Hobart, Tas 7001, Australia</t>
  </si>
  <si>
    <t>Australian Antarctic Division; University of Tasmania</t>
  </si>
  <si>
    <t>Heil, P (corresponding author), Univ Tasmania, Dept Environm &amp; Heritage, Australian Antarctic Div, Antarctic CLimate &amp; Ecosyst Cooperat Res Ctr Tasm, Private Bag 80, Hobart, Tas 7001, Australia.</t>
  </si>
  <si>
    <t>petra.heil@utas.edu.au</t>
  </si>
  <si>
    <t>Heil, Petra/0000-0003-2078-0342</t>
  </si>
  <si>
    <t>C05009</t>
  </si>
  <si>
    <t>10.1029/2005JC002904</t>
  </si>
  <si>
    <t>046HE</t>
  </si>
  <si>
    <t>WOS:000237801400001</t>
  </si>
  <si>
    <t>Liao, W; Case, AT; Mastromarino, J; Tan, D; Dibb, JE</t>
  </si>
  <si>
    <t>Liao, W.; Case, A. T.; Mastromarino, J.; Tan, D.; Dibb, J. E.</t>
  </si>
  <si>
    <t>Observations of HONO by laser-induced fluorescence at the South Pole during ANTCI 2003</t>
  </si>
  <si>
    <t>NITROUS-ACID; SNOW; GREENLAND; SUMMIT; OXIDES; AIR; OH</t>
  </si>
  <si>
    <t>Observations of nitrous acid (HONO) by laser-induced fluorescence (LIF) at the South Pole taken during the Antarctic Troposphere Chemistry Investigation (ANTCI), which took place over the time period of Nov. 15, 2003 to Jan. 4, 2004, are presented here. The median observed mixing ratio of HONO 10 m above the snow was 5.8 pptv ( mean value 6.3 pptv) with a maximum of 18.2 pptv on Nov 30th, Dec 1st, 3rd, 15th, 17th, 21st, 22nd, 25th, 27th and 28th. The measurement uncertainty is +/- 35%. The LIF HONO observations are compared to concurrent HONO observations performed by mist chamber/ion chromatography (MC/IC). The HONO levels reported by MC/IC are about 7.2 +/- 2.3 times higher than those reported by LIF.</t>
  </si>
  <si>
    <t>Georgia Inst Technol, Atlanta, GA 30332 USA; Univ New Hampshire, Climate Change Res Ctr, Durham, NH 03824 USA</t>
  </si>
  <si>
    <t>University System of Georgia; Georgia Institute of Technology; University System Of New Hampshire; University of New Hampshire</t>
  </si>
  <si>
    <t>Liao, W (corresponding author), Georgia Inst Technol, Atlanta, GA 30332 USA.</t>
  </si>
  <si>
    <t>dtan@eas.gatech.edu</t>
  </si>
  <si>
    <t>MAY 10</t>
  </si>
  <si>
    <t>L09810</t>
  </si>
  <si>
    <t>10.1029/2005GL025470</t>
  </si>
  <si>
    <t>046GK</t>
  </si>
  <si>
    <t>WOS:000237799300001</t>
  </si>
  <si>
    <t>Barwick, SW; Beatty, JJ; Besson, DZ; Binns, WR; Cai, B; Clem, JM; Connolly, A; Cowen, DF; Dowkontt, PF; DuVernois, MA; Evenson, PA; Goldstein, D; Gorham, PW; Hebert, CL; Israel, MH; Learned, JG; Liewer, KM; Link, JT; Matsuno, S; Miocinovic, P; Nam, J; Naudet, CJ; Nichol, R; Palladino, K; Rosen, M; Saltzberg, D; Seckel, D; Silvestri, A; Stokes, BT; Varner, GS; Wu, F</t>
  </si>
  <si>
    <t>Constraints on cosmic neutrino fluxes from the Antarctic Impulsive Transient Antenna experiment</t>
  </si>
  <si>
    <t>PHYSICAL REVIEW LETTERS</t>
  </si>
  <si>
    <t>HIGH-ENERGY NEUTRINOS; EMISSION; SHOWERS; CHARGE; LIMITS; RAYS; AIR</t>
  </si>
  <si>
    <t>We report new limits on cosmic neutrino fluxes from the test flight of the Antarctic Impulsive Transient Antenna (ANITA) experiment, which completed an 18.4 day flight of a prototype long-duration balloon payload, called ANITA-lite, in early 2004. We search for impulsive events that could be associated with ultrahigh energy neutrino interactions in the ice and derive limits that constrain several models for ultrahigh energy neutrino fluxes and rule out the long-standing Z-burst model.</t>
  </si>
  <si>
    <t>Univ Calif Irvine, Dept Phys &amp; Astron, Irvine, CA 92697 USA; Ohio State Univ, Dept Phys, Columbus, OH 43210 USA; Univ Kansas, Dept Phys &amp; Astron, Lawrence, KS 66045 USA; Washington Univ, Dept Phys, St Louis, MO 63130 USA; Univ Minnesota, Sch Phys &amp; Astron, Minneapolis, MN 55455 USA; Univ Delaware, Bartol Res Inst, Newark, DE USA; Univ Calif Los Angeles, Dept Phys &amp; Astron, Los Angeles, CA USA; Penn State Univ, Dept Astron &amp; Astrophys, University Pk, PA 16802 USA; Univ Hawaii Manoa, Dept Phys &amp; Astron, Honolulu, HI 96822 USA; Jet Propuls Lab, Pasadena, CA USA</t>
  </si>
  <si>
    <t>University of California System; University of California Irvine; University System of Ohio; Ohio State University; University of Kansas; Washington University (WUSTL); University of Minnesota System; University of Minnesota Twin Cities; University of Delaware; University of California System; University of California Los Angeles; Pennsylvania Commonwealth System of Higher Education (PCSHE); Pennsylvania State University; Pennsylvania State University - University Park; University of Hawaii System; University of Hawaii Manoa; National Aeronautics &amp; Space Administration (NASA); NASA Jet Propulsion Laboratory (JPL)</t>
  </si>
  <si>
    <t>Univ Calif Irvine, Dept Phys &amp; Astron, Irvine, CA 92697 USA.</t>
  </si>
  <si>
    <t>Beatty, James/D-9310-2011; Connolly, Amy Lynn/J-3958-2013; Nichol, Ryan/C-1645-2008</t>
  </si>
  <si>
    <t>Beatty, James/0000-0003-0481-4952; Nichol, Ryan/0000-0003-0557-0443; Gorham, Peter/0000-0002-0923-9363; Goldstein, David/0000-0003-3654-8142</t>
  </si>
  <si>
    <t>0031-9007</t>
  </si>
  <si>
    <t>1079-7114</t>
  </si>
  <si>
    <t>PHYS REV LETT</t>
  </si>
  <si>
    <t>Phys. Rev. Lett.</t>
  </si>
  <si>
    <t>MAY 5</t>
  </si>
  <si>
    <t>10.1103/PhysRevLett.96.171101</t>
  </si>
  <si>
    <t>Physics, Multidisciplinary</t>
  </si>
  <si>
    <t>039QO</t>
  </si>
  <si>
    <t>WOS:000237321500005</t>
  </si>
  <si>
    <t>Weatherhead, EC; Andersen, SB</t>
  </si>
  <si>
    <t>The search for signs of recovery of the ozone layer</t>
  </si>
  <si>
    <t>STRATOSPHERIC WATER-VAPOR; TROPOPAUSE HEIGHT CHANGES; TOTAL COLUMN OZONE; HETEROGENEOUS CHEMISTRY; ANTARCTIC OZONE; NORTHERN MIDLATITUDES; ATMOSPHERIC CHEMISTRY; VERTICAL-DISTRIBUTION; 2-DIMENSIONAL MODEL; GREENHOUSE-GAS</t>
  </si>
  <si>
    <t>Evidence of mid-latitude ozone depletion and proof that the Antarctic ozone hole was caused by humans spurred policy makers from the late 1980s onwards to ratify the Montreal Protocol and subsequent treaties, legislating for reduced production of ozone-depleting substances. The case of anthropogenic ozone loss has often been cited since as a success story of international agreements in the regulation of environmental pollution. Although recent data suggest that total column ozone abundances have at least not decreased over the past eight years for most of the world, it is still uncertain whether this improvement is actually attributable to the observed decline in the amount of ozone-depleting substances in the Earth's atmosphere. The high natural variability in ozone abundances, due in part to the solar cycle as well as changes in transport and temperature, could override the relatively small changes expected from the recent decrease in ozone-depleting substances. Whatever the benefits of the Montreal agreement, recovery of ozone is likely to occur in a different atmospheric environment, with changes expected in atmospheric transport, temperature and important trace gases. It is therefore unlikely that ozone will stabilize at levels observed before 1980, when a decline in ozone concentrations was first observed.</t>
  </si>
  <si>
    <t>Univ Colorado, Cooperat Inst Res Environm Sci, Boulder, CO 80307 USA; Danish Meteorol Inst, DK-2100 Copenhagen, Denmark</t>
  </si>
  <si>
    <t>University of Colorado System; University of Colorado Boulder; Danish Meteorological Institute DMI</t>
  </si>
  <si>
    <t>Univ Colorado, Cooperat Inst Res Environm Sci, Campus Box 216, Boulder, CO 80307 USA.</t>
  </si>
  <si>
    <t>betsy.weatherhead@cires.colorado.edu</t>
  </si>
  <si>
    <t>Andersen, Signe/C-4809-2013; Weatherhead, Elizabeth/I-7091-2015</t>
  </si>
  <si>
    <t>Andersen, Signe/0000-0002-8216-0141; Weatherhead, Elizabeth/0000-0002-9252-4228</t>
  </si>
  <si>
    <t>MAY 4</t>
  </si>
  <si>
    <t>10.1038/nature04746</t>
  </si>
  <si>
    <t>038TB</t>
  </si>
  <si>
    <t>WOS:000237248600028</t>
  </si>
  <si>
    <t>Holt, JW; Blankenship, DD; Morse, DL; Young, DA; Peters, ME; Kempf, SD; Richter, TG; Vaughan, DG; Corr, HFJ</t>
  </si>
  <si>
    <t>New boundary conditions for the West Antarctic Ice Sheet: Subglacial topography of the Thwaites and Smith glacier catchments</t>
  </si>
  <si>
    <t>AMUNDSEN SEA SECTOR</t>
  </si>
  <si>
    <t>Airborne radar sounding over the Thwaites Glacier (TG) catchment and its surroundings provides the first comprehensive view of subglacial topography in this dynamic part of the West Antarctic Ice Sheet (WAIS) and reveals that TG is underlain by a single, broad basin fed by a dendritic pattern of valleys, while Smith Glacier lies within an extremely deep, narrow trench. Subglacial topography in the TG catchment slopes inland from a broad, low-relief coastal sill to the thickest ice of the WAIS and makes deep connections to both Pine Island Glacier and the Ross Sea Embayment enabling dynamic interactions across the WAIS during deglaciation. Simple isostatic rebound modeling shows that most of this landscape would be submarine after deglaciation, aside from an island chain near the present-day Ross-Amundsen ice divide. The lack of topographic confinement along TG's eastern margin implies that it may continue to widen in response to grounding line retreat.</t>
  </si>
  <si>
    <t>Univ Texas, Inst Geophys, Austin, TX 78759 USA; British Antarctic Survey, NERC, Cambridge CB3 0ET, England</t>
  </si>
  <si>
    <t>University of Texas System; University of Texas Austin; UK Research &amp; Innovation (UKRI); Natural Environment Research Council (NERC); NERC British Antarctic Survey</t>
  </si>
  <si>
    <t>Univ Texas, Inst Geophys, 4412 Spicewood Springs Rd,Bldg 600, Austin, TX 78759 USA.</t>
  </si>
  <si>
    <t>jack@ig.utexas.edu</t>
  </si>
  <si>
    <t>Corr, Hugh/C-5398-2011; Blankenship, Donald D./G-5935-2010; Holt, John W/C-4896-2009; Vaughan, David/C-8348-2011; Young, Duncan/G-6256-2010</t>
  </si>
  <si>
    <t>Young, Duncan/0000-0002-6866-8176; Vaughan, David/0000-0002-9065-0570</t>
  </si>
  <si>
    <t>MAY 3</t>
  </si>
  <si>
    <t>L09502</t>
  </si>
  <si>
    <t>10.1029/2005GL025561</t>
  </si>
  <si>
    <t>041HU</t>
  </si>
  <si>
    <t>WOS:000237446200001</t>
  </si>
  <si>
    <t>Vaughan, DG; Corr, HFJ; Ferraccioli, F; Frearson, N; O'Hare, A; Mach, D; Holt, JW; Blankenship, DD; Morse, DL; Young, DA</t>
  </si>
  <si>
    <t>New boundary conditions for the West Antarctic ice sheet: Subglacial topography beneath Pine Island Glacier</t>
  </si>
  <si>
    <t>Predictions about future changes in the Amundsen Sea sector of the West Antarctic ice sheet (WAIS) have been hampered by poorly known subglacial topography. Extensive airborne survey has allowed us to derive improved subglacial topography for the Pine Island Glacier basin. The trunk of this glacier lies in a narrow, 250-km long, 500-m deep sub-glacial trough, suggesting a long-lived and constrained ice stream. Two tributaries lie in similar troughs, others lie in less defined, shallower troughs. The lower basin of the glacier is surrounded by bedrock, which, after deglaciation and isostatic rebound, could rise above sea level. This feature would impede ice-sheet collapse initiated near the grounding line of this glacier, and prevent its progress into the deepest portions of WAIS. The inland-slope of the bed beneath the trunk of the glacier, however, confirms potential instability of the lower basin, containing sufficient ice to raise global sea by similar to 24 cm.</t>
  </si>
  <si>
    <t>British Antarctic Survey, NERC, Cambridge CB3 0ET, England; Optimare Sensorsyst AG, D-27572 Bremerhaven, Germany; Univ Texas, Inst Geophys, Austin, TX 78759 USA</t>
  </si>
  <si>
    <t>UK Research &amp; Innovation (UKRI); Natural Environment Research Council (NERC); NERC British Antarctic Survey; University of Texas System; University of Texas Austin</t>
  </si>
  <si>
    <t>Vaughan, DG (corresponding author), British Antarctic Survey, NERC, Madingley Rd, Cambridge CB3 0ET, England.</t>
  </si>
  <si>
    <t>d.vaughan@bas.ac.uk</t>
  </si>
  <si>
    <t>Holt, John W/C-4896-2009; Vaughan, David/C-8348-2011; Blankenship, Donald D./G-5935-2010; Corr, Hugh/C-5398-2011; Young, Duncan/G-6256-2010</t>
  </si>
  <si>
    <t>Ferraccioli, Fausto/0000-0002-9347-4736; Young, Duncan/0000-0002-6866-8176; Vaughan, David/0000-0002-9065-0570</t>
  </si>
  <si>
    <t>L09501</t>
  </si>
  <si>
    <t>10.1029/2005GL025588</t>
  </si>
  <si>
    <t>WOS:000237446200002</t>
  </si>
  <si>
    <t>Tilmes, S; Müller, R; Grooss, JU; Spang, R; Sugita, T; Nakajima, H; Sasano, Y</t>
  </si>
  <si>
    <t>Chemical ozone loss and related processes in the Antarctic winter 2003 based on Improved Limb Atmospheric Spectrometer (ILAS) -: II observations</t>
  </si>
  <si>
    <t>BALLOON-BORNE OBSERVATIONS; STRATOSPHERE CLAMS; LAGRANGIAN MODEL; ARCTIC WINTER; POLAR VORTEX; TRACER CORRELATIONS; ART.; DEPLETION; CHLORINE; HOLE</t>
  </si>
  <si>
    <t>In this study, ILAS-II (Improved Limb Atmospheric Spectrometer) measurements were used to analyze chemical ozone loss during the entire Antarctic winter 2003, using the tracer-tracer correlation technique. The temporal evolution of both the accumulated local chemical ozone loss and the loss in column ozone in the lower stratosphere is in step with increasing solar illumination. Half of the entire loss in column ozone of 157 DU occurred during September 2003. By the end of September 2003, almost the total amount of ozone was destroyed between 380 and 470 K. Further, ozone loss rates increased strongly during September for the entire lower stratosphere. The values of accumulated ozone loss and ozone loss rates are strongly dependent on altitude. Once ozone loss is saturated during September, especially at latitudes between 380 and 420 K, ozone loss rates decrease, and accumulated ozone loss can no longer increase. Moreover, at altitudes above 470 K, accumulated ozone loss depends on the amount of PSCs occurring during winter and spring. During September, ozone mixing ratios show a large day to day variation. Box model simulations by the Chemical Lagrangian Model of the Stratosphere (CLaMS) show that this is a result of the different histories of the observed air masses. Further, the box model supports the general evolution of ozone loss values during September as a result of the strong increase of halogen catalyzed ozone destruction.</t>
  </si>
  <si>
    <t>Forschungszentrum Julich, ICGI, D-52425 Julich, Germany; Natl Inst Environm Studies, Div Atmospher Environm, Tsukuba, Ibaraki 3058506, Japan</t>
  </si>
  <si>
    <t>Helmholtz Association; Research Center Julich; National Institute for Environmental Studies - Japan</t>
  </si>
  <si>
    <t>Natl Ctr Atmospher Res, Boulder, CO 80305 USA.</t>
  </si>
  <si>
    <t>tilmes@ucar.edu</t>
  </si>
  <si>
    <t>Müller, Rolf/ABA-8213-2021; Grooß, Jens-Uwe/A-7315-2013; Tilmes, Simone/JUV-6618-2023; Sasano, Yasuhiro/AAL-8184-2020; Sugita, Takafumi/H-6669-2018; Grooß, Jens-Uwe/N-3305-2019; Nakajima, Hideaki/M-8845-2019; Spang, Reinhold/A-2738-2013</t>
  </si>
  <si>
    <t>Müller, Rolf/0000-0002-5024-9977; Grooß, Jens-Uwe/0000-0002-9485-866X; Tilmes, Simone/0000-0002-6557-3569; Sasano, Yasuhiro/0000-0001-7470-5642; Grooß, Jens-Uwe/0000-0002-9485-866X; Nakajima, Hideaki/0000-0002-2742-1230; Spang, Reinhold/0000-0002-2483-5761; Sugita, Takafumi/0000-0002-0508-7040</t>
  </si>
  <si>
    <t>D11S12</t>
  </si>
  <si>
    <t>10.1029/2005JD006260</t>
  </si>
  <si>
    <t>041IG</t>
  </si>
  <si>
    <t>WOS:000237447400001</t>
  </si>
  <si>
    <t>Diyabalanage, T; Amsler, CD; McClintock, JB; Baker, BJ</t>
  </si>
  <si>
    <t>Palmerolide A, a cytotoxic macrolide from the Antarctic tunicate Synoicum adareanum</t>
  </si>
  <si>
    <t>JOURNAL OF THE AMERICAN CHEMICAL SOCIETY</t>
  </si>
  <si>
    <t>Univ S Florida, Dept Chem, Tampa, FL 33620 USA; Univ Alabama Birmingham, Dept Biol, Birmingham, AL 35294 USA</t>
  </si>
  <si>
    <t>State University System of Florida; University of South Florida; University of Alabama System; University of Alabama Birmingham</t>
  </si>
  <si>
    <t>Univ S Florida, Dept Chem, 4202 E Fowler Ave CHE205, Tampa, FL 33620 USA.</t>
  </si>
  <si>
    <t>bjbaker@cas.usf.edu</t>
  </si>
  <si>
    <t>Amsler, Charles/0000-0002-4843-3759</t>
  </si>
  <si>
    <t>0002-7863</t>
  </si>
  <si>
    <t>1520-5126</t>
  </si>
  <si>
    <t>J AM CHEM SOC</t>
  </si>
  <si>
    <t>J. Am. Chem. Soc.</t>
  </si>
  <si>
    <t>10.1021/ja0588508</t>
  </si>
  <si>
    <t>Chemistry, Multidisciplinary</t>
  </si>
  <si>
    <t>Science Citation Index Expanded (SCI-EXPANDED); Index Chemicus (IC)</t>
  </si>
  <si>
    <t>Chemistry</t>
  </si>
  <si>
    <t>040OR</t>
  </si>
  <si>
    <t>WOS:000237389900021</t>
  </si>
  <si>
    <t>Fitz Gerald, JD; Parsons, I; Cayzer, N</t>
  </si>
  <si>
    <t>Nanotunnels and pull-aparts: Defects of exsolution lamellae in alkali feldspars</t>
  </si>
  <si>
    <t>AMERICAN MINERALOGIST</t>
  </si>
  <si>
    <t>electron microscopy; alkali feldspar; high-temperature studies; fluid phase; diffusion</t>
  </si>
  <si>
    <t>SHAP GRANITE; MICROTEXTURAL CONTROLS; POTASSIUM-FELDSPAR; OXYGEN-ISOTOPE; EXCHANGE; SOLVUS; CATION; ROCKS; MICROSTRUCTURES; DISLOCATIONS</t>
  </si>
  <si>
    <t>We have studied defects associated with flat, lens-shaped perthitic albite lamellae in alkali feldspars using SEM and TEM. In orthoclase phenocrysts from the Shap granite, Cumbria, NW England, bulk composition Or(70.20)Ab(29.05)An(0.85), no dislocations were found even in optically fresh parts of grains. Instead, dissolution inferred to be localized on edge-dislocation loops has created tiny nanotunnels typically &lt; 10 nm in diameter. Some nanotunnels are facetted, confirming that they were produced by fluid-feldspar reactions in the cooling intrusion. A second type of defect is also developed: tiny cracks crossing albite lamellae that we call pull-aparts, parallel to the (001) or the (010) cleavages. We found similar nanoscale features in perthitic feldspars from Antarctic granulite-facies gneisses and Brazilian chamockites. In the Shap feldspars, the Pericline-twin composition plane (the rhombic section) is close to the high albite position, explicable only if the T effect of the similar to 1% An in the feldspars is taken into account for commencement of coherent exsolution. The orientation of the Pericline twins was fixed shortly after coherent exsolution began. Previous work has indicated that edge dislocations would start to form during cooling at &lt;= 400 degrees C, so that nanotunnels form at still lower T. Dry heating experiments were carried out to establish the stability of the defects and the homogenization behavior of the exsolution lamellae. Na &lt;-&gt; K exchange is rapid on heating above the coherent solvus and chemical homogenization of lamellae is complete after 24 h at 700 degrees C. In contrast, nanotunnels persist for &gt; 148 h at 1000 degrees C and &gt; 5748 h at 700 degrees C. Below the coherent solvus, exsolution lamellae thin on heating, leaving nanotunnels stranded in the orthoclase matrix. Microtextures related to Si-Al ordering patterns in the framework, such as Albite twins, are not eliminated, forming ghost-like lamellar strain patterns in chemically homogeneous feldspar. The presence of nanotunnels in optically fresh alkali feldspars shows that not only granites but also granulite-facies rocks have been pervasively affected by fluids at low T. Both nanotunnels and pull-aparts have important implications for feldspar reactivity in the upper crust, for (18)Oexchange, and for transport of 'Ar both in nature and in laboratory step-heating.</t>
  </si>
  <si>
    <t>Australian Natl Univ, Res Sch Earth Sci, Canberra, ACT 0200, Australia; Univ Edinburgh, Grant Inst Earth Sci, Edinburgh EH9 3JW, Midlothian, Scotland</t>
  </si>
  <si>
    <t>Australian National University; University of Edinburgh</t>
  </si>
  <si>
    <t>Fitz Gerald, JD (corresponding author), Australian Natl Univ, Res Sch Earth Sci, Canberra, ACT 0200, Australia.</t>
  </si>
  <si>
    <t>john.fitzgerald@anu.edu.au</t>
  </si>
  <si>
    <t>Fitz Gerald, John/A-8320-2008</t>
  </si>
  <si>
    <t>MINERALOGICAL SOC AMER</t>
  </si>
  <si>
    <t>CHANTILLY</t>
  </si>
  <si>
    <t>3635 CONCORDE PKWY STE 500, CHANTILLY, VA 20151-1125 USA</t>
  </si>
  <si>
    <t>0003-004X</t>
  </si>
  <si>
    <t>AM MINERAL</t>
  </si>
  <si>
    <t>Am. Miner.</t>
  </si>
  <si>
    <t>MAY-JUN</t>
  </si>
  <si>
    <t>5-6</t>
  </si>
  <si>
    <t>046LQ</t>
  </si>
  <si>
    <t>WOS:000237813500007</t>
  </si>
  <si>
    <t>Kos, G; Ariya, PA</t>
  </si>
  <si>
    <t>Determination of a wide range of volatile and semivolatile organic compounds in snow by use of solid-phase micro-extraction (SPME)</t>
  </si>
  <si>
    <t>ANALYTICAL AND BIOANALYTICAL CHEMISTRY</t>
  </si>
  <si>
    <t>snow; volatile organic compounds (VOC); atmospheric chemistry; SPME; GC-MS</t>
  </si>
  <si>
    <t>CHROMATOGRAPHY-MASS-SPECTROMETRY; ANTARCTIC SNOW; WATER; MICROEXTRACTION; GREENLAND; HYDROCARBONS; FORMALDEHYDE; TROPOSPHERE; VALIDATION; CAPACITY</t>
  </si>
  <si>
    <t>Quantification and transformation of organic compounds are pivotal in understanding atmospheric processes, because such compounds contribute to the oxidative capacity of the atmosphere and drive climate change. It has recently been recognized that chemical reactions in snow play a role in the production or destruction of photolabile volatile organic compounds (VOC). We present an environmentally friendly method for determination of VOC and semi-VOC in snow collected at three sites-remote, urban, and (sub-)arctic. A solid-phase micro-extraction (SPME) procedure was developed and (semi-)VOC were identified by gas chromatography with mass spectrometric detection (GC-MS). A broad spectrum of (semi-)VOC was found in snow samples, including aldehydes, and aromatic and halogenated compounds. Quantification was performed for 12 aromatic and/or oxygenated compounds frequently observed in snow by use of neat standard solutions. The concentrations detected were between 0.12 (styrene and ethylbenzene) and 316 mu g L-1 (toluene) and limits of detection varied between 0.11 (styrene) and 1.93 mu g L-1 (benzaldehyde). These results indicate that the SPME technique presented is a broad but selective, versatile, solvent-free, ecological, economical, and facile method of analysis for (semi-)VOC in natural snow samples.</t>
  </si>
  <si>
    <t>McGill Univ, Dept Chem, Montreal, PQ H3A 2K6, Canada; McGill Univ, Dept Atmospher &amp; Ocean Sci, Montreal, PQ H3A 2K6, Canada</t>
  </si>
  <si>
    <t>McGill University; McGill University</t>
  </si>
  <si>
    <t>McGill Univ, Dept Chem, 801 Sherbrooke St W, Montreal, PQ H3A 2K6, Canada.</t>
  </si>
  <si>
    <t>parisa.ariya@mcgill.ca</t>
  </si>
  <si>
    <t>Ariya, Parisa A/G-2810-2015; Kos, Gregor/T-8887-2019</t>
  </si>
  <si>
    <t>Kos, Gregor/0000-0001-8223-7308; Kos, Gregor/0000-0001-7076-3802</t>
  </si>
  <si>
    <t>1618-2642</t>
  </si>
  <si>
    <t>1618-2650</t>
  </si>
  <si>
    <t>ANAL BIOANAL CHEM</t>
  </si>
  <si>
    <t>Anal. Bioanal. Chem.</t>
  </si>
  <si>
    <t>MAY</t>
  </si>
  <si>
    <t>10.1007/s00216-006-0333-5</t>
  </si>
  <si>
    <t>Biochemical Research Methods; Chemistry, Analytical</t>
  </si>
  <si>
    <t>Biochemistry &amp; Molecular Biology; Chemistry</t>
  </si>
  <si>
    <t>035AL</t>
  </si>
  <si>
    <t>WOS:000236972000010</t>
  </si>
  <si>
    <t>Low, M; Joy, MK; Makan, T</t>
  </si>
  <si>
    <t>Low, Matthew; Joy, Michael K.; Makan, Troy</t>
  </si>
  <si>
    <t>Using regression trees to predict patterns of male provisioning in the stitchbird (hihi)</t>
  </si>
  <si>
    <t>ANIMAL BEHAVIOUR</t>
  </si>
  <si>
    <t>EXTRA-PAIR PATERNITY; MALE PARENTAL CARE; ENDANGERED HIHI; COPULATION; CLASSIFICATION; BROOD; POPULATION; SIZE; MATE; FREQUENCY</t>
  </si>
  <si>
    <t>Males are predicted to trade-off parental effort (PE) for current or future mating effort (ME) at times when this is likely to increase their lifetime reproductive success. We used a cross-validated regression tree analysis to predict the effect of several variables on nest-provisioning visits by male stitchbirds (or hihi, Notiomystis cincta). For 51 first broods, males did not invest in secondary females' broods, nor did they provision nests containing only one chick. Male PE was positively correlated with brood size in nests containing more than one chick: male age, additional mating opportunities and proximity to supplementary food had minor effects on male provisioning rates in moderate-sized broods. For 23 second broods, provisioning was also correlated with female rank and brood size. Regression trees offer advantages over traditional linear parametric techniques. In this study, they outperformed multiple linear regression in their prediction accuracy, in highlighting interactions and allowing visualization of a hierarchy of decision-making rules used to predict offspring provisioning by male stitchbirds. While previous models of paternal investment have focused on ME/PE trade-offs as static functions, we analysed first and second broods separately because of the possibility that the relative importance of some variables changes as the breeding season progresses. (c) 2006 The Association for the study of Animal Behaviour Published by Elsevier Ltd. All rights reserved.</t>
  </si>
  <si>
    <t>Massey Univ, Nat Resources Inst, Ecol Grp, Palmerston North, New Zealand</t>
  </si>
  <si>
    <t>Massey University</t>
  </si>
  <si>
    <t>Low, M (corresponding author), Australian Antarctic Div, So Ocean Ecosyst Program, Channel Highway, Kingston, Tas 7050, Australia.</t>
  </si>
  <si>
    <t>matt.low@aad.gov.au</t>
  </si>
  <si>
    <t>Low, Matthew/D-2292-2013; Joy, Michael/E-3152-2010</t>
  </si>
  <si>
    <t>Joy, Michael/0000-0001-9457-5013; Low, Matthew/0000-0002-7345-6063</t>
  </si>
  <si>
    <t>0003-3472</t>
  </si>
  <si>
    <t>1095-8282</t>
  </si>
  <si>
    <t>ANIM BEHAV</t>
  </si>
  <si>
    <t>Anim. Behav.</t>
  </si>
  <si>
    <t>10.1016/j.anbehav.2005.07.021</t>
  </si>
  <si>
    <t>Behavioral Sciences; Zoology</t>
  </si>
  <si>
    <t>050SN</t>
  </si>
  <si>
    <t>WOS:000238108600007</t>
  </si>
  <si>
    <t>Barclay, DJ; Barclay, JL; Calkin, PE; Wiles, GC</t>
  </si>
  <si>
    <t>Barclay, David J.; Barclay, Julie L.; Calkin, Parker E.; Wiles, Gregory C.</t>
  </si>
  <si>
    <t>A revised and extended holocene glacial history of Icy Bay, southern Alaska, USA</t>
  </si>
  <si>
    <t>AGE CALIBRATION; FLUCTUATIONS; FJORD; VARIABILITY; YAKUTAT</t>
  </si>
  <si>
    <t>Tidewater glaciers have coalesced to advance through Icy Bay, Alaska, three times during the past 3800 yr. Radiocarbon ages show that the first of these expansions was underway by 3750 cal yr B.P. and culminated at the outer coast between 3505 and 3245 cal yr B.P. Subsequent recession and readvance brought the ice margin back to the outer coast by 1525 cal yr B.P. (cal A.D. 425) where it remained for about 650 yr before retreating. Tree-ring cross-dates of glacially killed trees show that the most recent ice advance was underway through the inner bay by the A.D. 1640s and reached into the outer bay in the 1810s. Historical data support ice expansion through the outer bay in the early 19th century and show a late 19th century maximum prior to 20th century retreat. These results are a significant revision and extension of previous studies of the Holocene glacial history of Icy Bay. Average advance rates for the most recent expansion were typical of modem tidewater glaciers in the inner bay but much faster in the outer bay; shallow water here may have been important to this latter phase of unusually rapid advance.</t>
  </si>
  <si>
    <t>SUNY Coll Cortland, Dept Geol, Cortland, NY 13045 USA; Univ Colorado, INSTAAR, Boulder, CO 80309 USA; Coll Wooster, Dept Geol, Wooster, OH 44691 USA</t>
  </si>
  <si>
    <t>State University of New York (SUNY) System; SUNY Cortland; University of Colorado System; University of Colorado Boulder; University System of Ohio; College of Wooster</t>
  </si>
  <si>
    <t>Barclay, DJ (corresponding author), SUNY Coll Cortland, Dept Geol, Cortland, NY 13045 USA.</t>
  </si>
  <si>
    <t>barclayd@cortland.edu</t>
  </si>
  <si>
    <t>Barclay, David/0009-0007-9629-3731</t>
  </si>
  <si>
    <t>10.1657/1523-0430(2006)38[153:ARAEHG]2.0.CO;2</t>
  </si>
  <si>
    <t>046LW</t>
  </si>
  <si>
    <t>WOS:000237814100001</t>
  </si>
  <si>
    <t>Barker, JD; Sharp, MJ; Fitzsimons, SJ; Turner, RJ</t>
  </si>
  <si>
    <t>Barker, J. D.; Sharp, M. J.; Fitzsimons, S. J.; Turner, R. J.</t>
  </si>
  <si>
    <t>Abundance and dynamics of dissolved organic carbon in glacier systems</t>
  </si>
  <si>
    <t>SYNCHRONOUS FLUORESCENCE-SPECTRA; AQUATIC FULVIC-ACIDS; MATTER; SPECTROSCOPY; COASTAL; MARINE; WATER; FLOW; DOC; ICE</t>
  </si>
  <si>
    <t>The biogeochemical cycling of organic carbon (OC) has important implications for aquatic system ecology because the abundance and molecular characteristics of OC influence contaminant transport and bioavailability, and determine its suitability as a substrate for microbial metabolism. There have been few studies of OC cycling in glacier systems and questions remain regarding the abundance, provenance, and biogeochemical transformations of OC in these environments. To address these questions, the abundance and fluorescence characteristics of dissolved organic carbon (DOC) were investigated at John Evans Glacier and Outre Glacier, Canada, and Victoria Upper Glacier, Antarctica. These systems are characterized by different thermal and hydrological regimes, and have different potential DOC sources. Where possible, samples of supraglacial runoff, glacier ice and basal ice, and subglacial meltwater were collected. The DOC concentration in each sample was measured (high-temperature combustion and non-dispersive IR detection), and emission and/or synchronous fluorescence spectroscopy were used to characterize the DOC from each environment. DOC exists in detectable quantities (0.06-46.6 ppm) in all of these glacier systems. The fluorescence characteristics of DOC vary between glaciers, between environments at the same glacier, and over time within a single environment. These results suggest that quality of available OC and glacier hydrological flow routing influence the characteristics of DOC, and that microbial cycling of OC may be active in glacier systems.</t>
  </si>
  <si>
    <t>Univ Alberta, Dept Earth &amp; Atmospher Sci, Edmonton, AB T6G 2E3, Canada; Univ Otago, Dept Geog, Dunedin, New Zealand; Univ Calgary, Dept Biol Sci, Calgary, AB T2N 1N4, Canada</t>
  </si>
  <si>
    <t>University of Alberta; University of Otago; University of Calgary</t>
  </si>
  <si>
    <t>Barker, JD (corresponding author), Univ Alberta, Dept Earth &amp; Atmospher Sci, Edmonton, AB T6G 2E3, Canada.</t>
  </si>
  <si>
    <t>jdbarker@ualberta.ca</t>
  </si>
  <si>
    <t>Fitzsimons, Sean/C-4024-2009; Turner, Raymond J./M-3961-2015</t>
  </si>
  <si>
    <t>Turner, Raymond J./0000-0002-9263-0776; Barker, Joel/0000-0003-1661-2709</t>
  </si>
  <si>
    <t>10.1657/1523-0430(2006)38[163:AADODO]2.0.CO;2</t>
  </si>
  <si>
    <t>WOS:000237814100002</t>
  </si>
  <si>
    <t>Bay, RF; Ebersole, JJ</t>
  </si>
  <si>
    <t>Bay, Robin F.; Ebersole, James J.</t>
  </si>
  <si>
    <t>Success of turf transplants in restoring alpine trails, Colorado, USA</t>
  </si>
  <si>
    <t>RESTORATION; DISTURBANCE; VEGETATION; PLOTS; ALPS</t>
  </si>
  <si>
    <t>Heavy, increasing recreation on Colorado's high peaks has created numerous social trails requiring restoration. We studied success of turf transplants 3 yr after transplanting on Mount Belford in the Sawatch Range, and Humboldt Peak in the Sangre de Cristo Range. Based on point-intercept data, sum of all vascular species' covers was 12% to 31% lower in transplanted plots than in control areas. We found no differences in canopy density and height between transplant and control plots on Mount Belford, while both were about 40% lower in transplants on Humboldt Peak. Species richness adjusted for plot size was slightly greater in transplant plots on Mount Belford and slightly lower on Humboldt Peak. On both peaks, we found greater absolute cover of grasses in transplant plots, while forb cover was lower. After 3 yr, turf transplants effectively established vegetation cover and maintained high species richness in these communities. Whenever turf is available, e.g., new trail construction, it should be used to restore closed social trails and campsites, and turf transplants can be considered in other ecosystems for small disturbances in high-value areas where restoration would otherwise be slow.</t>
  </si>
  <si>
    <t>Colorado Coll, Dept Biol, Colorado Springs, CO 80903 USA</t>
  </si>
  <si>
    <t>Colorado College</t>
  </si>
  <si>
    <t>Ebersole, JJ (corresponding author), Colorado Coll, Dept Biol, 14 E Cache Poudre St, Colorado Springs, CO 80903 USA.</t>
  </si>
  <si>
    <t>jebersole@ColoradoCollege.edu</t>
  </si>
  <si>
    <t>10.1657/1523-0430(2006)38[173:SOTTIR]2.0.CO;2</t>
  </si>
  <si>
    <t>WOS:000237814100003</t>
  </si>
  <si>
    <t>Burnett, L; Moorhead, D; Hawes, I; Howard-Williams, C</t>
  </si>
  <si>
    <t>Burnett, Laura; Moorhead, Daryl; Hawes, Ian; Howard-Williams, Clive</t>
  </si>
  <si>
    <t>Environmental factors associated dry valley lakes, South Victoria with deep chlorophyll maxima in land, South Victoria Land, Antarctica</t>
  </si>
  <si>
    <t>VERTICAL-DISTRIBUTION; PHYTOPLANKTON DYNAMICS; SEASONAL DISTRIBUTION; WATER COLUMN; NUTRIENTS; PLANKTON; ECOLOGY; BONNEY; LAYERS; VANDA</t>
  </si>
  <si>
    <t>Environmental factors associated with deep chlorophyll maximum (DCM) layers were examined in five lakes of the McMurdo Dry Valleys, Antarctica, to test the hypothesis that DCM are more closely associated with resource limitations than water density. Because data could not be transformed to meet the assumption of normal distribution, distance matrices were constructed from vectors of observed chlorophyll-a (CHL), photosynthetic active radiation intensity (PAR), soluble reactive phosphorous (SRP), dissolved inorganic nitrogen (DIN), dissolved oxygen (DO), water density (DEN), and incremental change in water density/depth (DEL). Multiple regression analyses then were based on permutation evaluations of the relationships between distance matrices (partial Mantel analyses). Results indicated that resource availability (PAR and DIN) was most frequently related to chlorophyll-a, although DEN and DEL often were significant within individual lakes. Hence, resource relationships were strongest across lakes and seasons whereas density relationships also were important within individual lakes. Moreover, DCM appeared sensitive to threshold levels of DEN and PAR, suggesting that controls may exist as both discrete (threshold) and continuous functions of both resource availability and water density.</t>
  </si>
  <si>
    <t>Univ Toledo, Dept Earth Ecol &amp; Environm Sci, Toledo, OH 43606 USA; Natl Inst Water &amp; Atmospher Res Ltd, Christchurch, New Zealand</t>
  </si>
  <si>
    <t>University System of Ohio; University of Toledo; National Institute of Water &amp; Atmospheric Research (NIWA) - New Zealand</t>
  </si>
  <si>
    <t>Moorhead, D (corresponding author), Univ Toledo, Dept Earth Ecol &amp; Environm Sci, 2801 W Bancroft St, Toledo, OH 43606 USA.</t>
  </si>
  <si>
    <t>daryl.moorhead@utoledo.edu</t>
  </si>
  <si>
    <t>Hawes, Ian/0000-0003-2471-6903; Howard-Williams, Clive/0000-0002-8323-6806</t>
  </si>
  <si>
    <t>Office of Polar Programs (OPP); Directorate For Geosciences [0832755] Funding Source: National Science Foundation; Office of Polar Programs (OPP); Directorate For Geosciences [1041742] Funding Source: National Science Foundation</t>
  </si>
  <si>
    <t>Office of Polar Programs (OPP); Directorate For Geosciences(National Science Foundation (NSF)NSF - Directorate for Geosciences (GEO)); Office of Polar Programs (OPP); Directorate For Geosciences(National Science Foundation (NSF)NSF - Directorate for Geosciences (GEO))</t>
  </si>
  <si>
    <t>10.1657/1523-0430(2006)38[179:EFAWDC]2.0.CO;2</t>
  </si>
  <si>
    <t>WOS:000237814100004</t>
  </si>
  <si>
    <t>Dyurgerov, M; McCabe, GJ</t>
  </si>
  <si>
    <t>Dyurgerov, Mark; McCabe, Gregory J.</t>
  </si>
  <si>
    <t>Associations between accelerated glacier mass wastage and increased summer temperature in coastal regions</t>
  </si>
  <si>
    <t>SEA-LEVEL RISE; GREENLAND ICE-SHEET; ANTARCTIC PENINSULA; BREAK-UP; BALANCE; CANADA; AREAL; CAP</t>
  </si>
  <si>
    <t>Low-elevation glaciers in coastal regions of Alaska, the Canadian Arctic, individual ice caps around the Greenland ice sheet, and the Patagonia Ice Fields have an aggregate glacier area of about 332 X 10(3) km(2) and account for approximately 42% of all the glacier area outside the Greenland and Antarctic ice sheets. They have shown volume loss, especially since the end of the 1980s, increasing from about 45% in the 1960s to nearly 67% in 2003 of the total wastage from all glaciers on Earth outside those two largest ice sheets. Thus, a disproportionally large contribution of coastal glacier ablation to sea level rise is evident. We examine cumulative standardized departures (1961-2000 reference period) of glacier mass balances and air temperature data in these four coastal regions. Analyses indicate a strong association between increases in glacier volume losses and summer air temperature at regional and global scales. Increases in glacier volume losses in the coastal regions also coincide with an accelerated rate of ice discharge from outlet glaciers draining the Greenland and West Antarctic ice sheets. These processes imply further increases in sea level rise.</t>
  </si>
  <si>
    <t>Univ Colorado, Inst Arctic &amp; Alpine Res, Boulder, CO 80309 USA; US Geol Survey, Fed Ctr, Lakewood, CO 80225 USA</t>
  </si>
  <si>
    <t>University of Colorado System; University of Colorado Boulder; United States Department of the Interior; United States Geological Survey</t>
  </si>
  <si>
    <t>Dyurgerov, M (corresponding author), Univ Colorado, Inst Arctic &amp; Alpine Res, Boulder, CO 80309 USA.</t>
  </si>
  <si>
    <t>mark.dyurgerov@colorado.edu</t>
  </si>
  <si>
    <t>10.1657/1523-0430(2006)38[190:ABAGMW]2.0.CO;2</t>
  </si>
  <si>
    <t>WOS:000237814100005</t>
  </si>
  <si>
    <t>Hacker, J; Neuner, G</t>
  </si>
  <si>
    <t>Hacker, J.; Neuner, G.</t>
  </si>
  <si>
    <t>Photosynthetic capacity and PSII efficiency of the evergreen alpine cushion plant Saxifraga paniculata during winter at different altitudes</t>
  </si>
  <si>
    <t>PHOTOSYSTEM-II; ACCLIMATION; PHOTOINHIBITION; LIGHT; STRESS; GROWTH; PHOTOPROTECTION; ECOPHYSIOLOGY; ANTHOCYANINS; STRATEGIES</t>
  </si>
  <si>
    <t>The effect on photosynthetic capacity, photochemical efficiency of photosystem II (PSII), and frost resistance to environmental changes during winter in the evergreen alpine cushion plant Saxifraga paniculata were investigated at different altitudes. S. paniculata was more resistant to cold induced photoinhibition during midwinter than other evergreen subalpine species. Photochemical efficiency (F-v/F-m) was only reduced to 0.62. Photosynthetic capacity was only reduced if weekly mean leaf temperatures dropped below +5 degrees C and remained positive during the entire investigation period. Growth cessation was accompanied by low values of photosynthetic capacity to maintain photostasis, i.e., the balance between energy input through photochemistry and subsequent energy utilization through metabolism. Even in January after night temperatures down to -22 degrees C, photosynthetic capacity still averaged +4.0 +/- 0-8 mu mol CO2 m(-2) s(-1). Initial frost damage did not commence until leaf temperatures dropped below -27.6 degrees C. This was sufficient to survive absolute air temperature minima. As an evergreen species, the sustained high efficiency of PSII in winter potentially enables S. paniculata to immediately utilize periods with moderate temperature conditions for photosynthesis, particularly at the end of winter when there is sufficient water on rocks due to melting snow.</t>
  </si>
  <si>
    <t>Hacker, J (corresponding author), Univ Innsbruck, Inst Bot, Sternwartestr 15, A-6020 Innsbruck, Austria.</t>
  </si>
  <si>
    <t>juergen.hacker@uibk.ac.at</t>
  </si>
  <si>
    <t>Neuner, Gilbert/J-9909-2017</t>
  </si>
  <si>
    <t>Neuner, Gilbert/0000-0003-2415-6125</t>
  </si>
  <si>
    <t>10.1657/1523-0430(2006)38[198:PCAPEO]2.0.CO;2</t>
  </si>
  <si>
    <t>WOS:000237814100006</t>
  </si>
  <si>
    <t>Hollister, RD; Webber, PJ; Nelson, FE; Tweedie, CE</t>
  </si>
  <si>
    <t>Hollister, Robert D.; Webber, Patrick J.; Nelson, Fredrick E.; Tweedie, Craig E.</t>
  </si>
  <si>
    <t>Soil thaw and temperature response to air warming varies by plant community: Results from an open-top chamber experiment in northern Alaska</t>
  </si>
  <si>
    <t>ACTIVE-LAYER THICKNESS; SIMULATED CLIMATE-CHANGE; KUPARUK RIVER-BASIN; TUNDRA; MANIPULATION; GREENHOUSES; ECOSYSTEMS; PATTERNS; GROWTH; REGION</t>
  </si>
  <si>
    <t>This study is presented against the background that climate warming is predicted to continue in much of the Arctic through the next century and that small greenhouse chambers have been used widely to warm tundra communities in order to forecast climate-related changes. It reports results from up to 8 years of experimental warming with similar to 1 m(2) open-top chambers (OTCs) at four tundra communities near Barrow (71 degrees 18'N, 156 degrees 40'W) and Atqasuk (70 degrees 29'N, 157 degrees 25'W) in northern Alaska. Between 1994 and 2002 the OTCs increased the mean growing season air temperature by between 0.6 and 2.2 degrees C, depending on the site and year. The change in average July soil temperature recorded over 3 years at 10 cm depth due to the OTCs varied between -0.8 and 0.7 degrees C, depending on the site. Changes in soil temperature did not result in detectable differences in thaw depth at any site. This is interpreted to be the result of the small size of the OTCs and possibly changes in vegetation. The differences in warming profiles between sites are important for the biological interpretation of manipulative warming experiments. These profiles also illustrate that vertical heat exchange varies according to plant community type and that this may be an important consideration as the region undergoes climatic change.</t>
  </si>
  <si>
    <t>Grand Valley State Univ, Dept Biol, Allendale, MI 49401 USA; Univ Delaware, Dept Geog, Newark, DE 19716 USA; Univ Texas, Dept Biol &amp; Envirom Sci, El Paso, TX 79968 USA; Univ Texas, Engn Program, El Paso, TX 79968 USA</t>
  </si>
  <si>
    <t>Grand Valley State University; University of Delaware; University of Texas System; University of Texas El Paso; University of Texas System; University of Texas El Paso</t>
  </si>
  <si>
    <t>Webber, PJ (corresponding author), POB 1380, Ranchos De Taos, NM 87557 USA.</t>
  </si>
  <si>
    <t>webber@msu.edu</t>
  </si>
  <si>
    <t>10.1657/1523-0430(2006)38[206:STATRT]2.0.CO;2</t>
  </si>
  <si>
    <t>WOS:000237814100007</t>
  </si>
  <si>
    <t>Liptzin, D</t>
  </si>
  <si>
    <t>Liptzin, Daniel</t>
  </si>
  <si>
    <t>A banded vegetation pattern in a high arctic community on Axel Heiberg Island, Nunavut, Canada</t>
  </si>
  <si>
    <t>PLANT-DISTRIBUTION; ELLESMERE-ISLAND; POLAR DESERT; FOREST; OASIS; WIND</t>
  </si>
  <si>
    <t>On Axel Heiberg Island, Nunavut, Canada, a banded vegetation pattern occurred on a hillside where patterned ground and unidirectional abiotic fluxes, such as downslope water flow or wind, were not present. The parent material was the obvious source of the plant pattern, as the soils occurred on five distinct types of alluvial deposits. To examine the observed pattern, plants were inventoried and soils were sampled in July 1999. Twelve vascular species of plants, but no non-vascular species, were present at the site. Neither water, often thought to limit plant distribution in the High Arctic, nor any of the other measured soil variables, predicted plant abundance. The best predictor of plant abundance, based on regression tree analysis, was total soil nitrogen; however, higher plant density was associated with lower nitrogen. The five soil types differed in plant density and soil properties. Even though the sand soil always had soil nutrients equal to or lower than the blocky clay soil, the sand and clay soils had the highest plant density and the blocky clay soil the lowest. Although the vegetation pattern is obvious, the underlying mechanism creating the pattern is not.</t>
  </si>
  <si>
    <t>Univ Penn, Dept Earth &amp; Environm Sci, Philadelphia, PA 19104 USA</t>
  </si>
  <si>
    <t>University of Pennsylvania</t>
  </si>
  <si>
    <t>Liptzin, D (corresponding author), Univ Colorado, Inst Arctic &amp; Alpine Res, 1560 30th St, Boulder, CO 80309 USA.</t>
  </si>
  <si>
    <t>liptzin@colorado.edu</t>
  </si>
  <si>
    <t>LIPTZIN, DANIEL/0000-0002-8243-267X</t>
  </si>
  <si>
    <t>10.1657/1523-0430(2006)38[216:ABVPIA]2.0.CO;2</t>
  </si>
  <si>
    <t>WOS:000237814100008</t>
  </si>
  <si>
    <t>Molina-Montenegro, MA; Badano, EI; Cavieres, LA</t>
  </si>
  <si>
    <t>Molina-Montenegro, Marco A.; Badano, Ernesto I.; Cavieres, Lohengrin A.</t>
  </si>
  <si>
    <t>Cushion plants as microclimatic shelters for two ladybird beetles species in alpine zone of central Chile</t>
  </si>
  <si>
    <t>TEMPERATURES; LEPIDOPTERA; COLEOPTERA</t>
  </si>
  <si>
    <t>High mountain environments are highly stressful for insect survival. It has been suggested that small microtopographic variations generating less stressful microclimatic conditions than the surrounding environment would provide more suitable sites for insect development. Cushion plants represent one of the life forms best adapted to the extreme alpine habitats. Cushion plants can modify microclimatic conditions within and under their canopy, generating less severe microsites than the surrounding environment. In this study, we characterized the microclimatic modifications made by the cushion plants Azorella monantha and Laretia acaulis and examine their role as microcliniatic shelters for two species of high Andean coleopterans (Coccinelidae): Eriopis connexa and Hippodamia variegata at 3200 in a.s.l. in the Andes of central Chile. Results showed that the cushion species create microhabitats with higher availability of water and less oscillating temperatures. However, the intensity of modifications was higher in A. monantha compared to L. acaulis. The abundance of the two ladybird beetle species was higher within cushions than outside, although E. connexa showed higher abundances compared to H. variegata. However, a habitat selection experiment in a greenhouse showed that under milder temperature conditions ladybird beetles species do not prefer cushions. This suggests that in the harsh alpine climate, cushion plants may act as microclimatic shelters since they reduce stressful environmental conditions, allowing greater abundances of coleopterans than in the surrounding environment.</t>
  </si>
  <si>
    <t>Univ Concepcion, ECOBIOSIS, Grp Invest Ecol Biogeog &amp; Sistemat, Dept Bot, Concepcion, Chile</t>
  </si>
  <si>
    <t>Universidad de Concepcion</t>
  </si>
  <si>
    <t>Molina-Montenegro, MA (corresponding author), Univ Concepcion, ECOBIOSIS, Grp Invest Ecol Biogeog &amp; Sistemat, Dept Bot, Casilla 160-C, Concepcion, Chile.</t>
  </si>
  <si>
    <t>marcmoli@udec.cl</t>
  </si>
  <si>
    <t>Cavieres, Lohengrin A./A-9542-2010; Badano, Ernesto I./C-3585-2013</t>
  </si>
  <si>
    <t>Cavieres, Lohengrin A./0000-0001-9122-3020; Badano, Ernesto I./0000-0002-9591-0984; Molina-Montenegro, Marco/0000-0001-6801-8942</t>
  </si>
  <si>
    <t>10.1657/1523-0430(2006)38[224:CPAMSF]2.0.CO;2</t>
  </si>
  <si>
    <t>WOS:000237814100009</t>
  </si>
  <si>
    <t>Rayback, SA; Henry, GHR</t>
  </si>
  <si>
    <t>Rayback, Shelly A.; Henry, Gregory H. R.</t>
  </si>
  <si>
    <t>Reconstruction of summer temperature for a Canadian High Arctic site from retrospective analysis of the dwarf shrub, Cassiope tetragona</t>
  </si>
  <si>
    <t>TREE-RING DATA; ENVIRONMENTAL-CHANGE; ELLESMERE-ISLAND; ICE-AGE; CLIMATE-CHANGE; GROWTH; RECORD; CENTURIES; ECOSYSTEM; PATTERNS</t>
  </si>
  <si>
    <t>We used retrospective analysis of the widespread evergreen dwarf-shrub, Cassiope tetragona, to reconstruct average summer air temperature for Alexandra Fiord, Ellesmere Island, Canada. Retrospective analysis is a technique based on dendrochronological methods. In this study, chronologies are based on the morphological characteristics of the plant stems. Two growth and two reproduction chronologies, ranging from 80 to 118 years long, were developed from each of two populations at the High Arctic site. We used multiple regression models to develop a 100-year-long (1895-1994) reconstruction of July-September average air temperature that explained 45% of the climatic variance in the instrumental record. The reconstruction revealed an increase in summer temperature from similar to 1905 to the early 1960s, a cooling trend from the mid-1960 to the 1970s, and an increase in temperature after 1980. These historical temperature patterns correspond well with those from other climate proxies from sites on Ellesmere and Devon Islands. As well, the similarity between our model and an arctic-wide proxy temperature time series suggests that the Cassiope-based reconstruction contains a large-scale temperature signal. There is great potential for the development of proxy climate data using Cassiope tetragona from sites throughout the Arctic.</t>
  </si>
  <si>
    <t>Univ British Columbia, Dept Geog, Vancouver, BC V6T 1Z2, Canada</t>
  </si>
  <si>
    <t>University of British Columbia</t>
  </si>
  <si>
    <t>Rayback, SA (corresponding author), Univ Vermont, Dept Geog, Old Mill Bldg 213,94 Univ Pl, Burlington, VT 05405 USA.</t>
  </si>
  <si>
    <t>srayback@uvm.edu; ghenry@geog.ubc.ca</t>
  </si>
  <si>
    <t>10.1657/1523-0430(2006)38[228:ROSTFA]2.0.CO;2</t>
  </si>
  <si>
    <t>WOS:000237814100010</t>
  </si>
  <si>
    <t>Scherrer, P; Pickering, CM</t>
  </si>
  <si>
    <t>Recovery of alpine herbfield on a closed walking track in the Kosciuszko alpine zone, Australia</t>
  </si>
  <si>
    <t>NATURAL REVEGETATION; COMMUNITY STRUCTURE; NATIONAL-PARK; VEGETATION; RESTORATION; DISTURBANCE; SUCCESSION; TUNDRA; ENVIRONMENTS; CONSTRAINTS</t>
  </si>
  <si>
    <t>Human use of arctic and alpine environments can result in damage to the natural vegetation and soils. Restoration of the damage can have limited success due to the severity of the environment, which restricts plant germination and growth and increases the potential for soil erosion. In this study, we evaluated the success of restoration of a closed track in the alpine area around continental Australia's highest mountain, Mount Kosciuszko. Vegetation and soils along a 4 km walking track (that was closed and rehabilitated more than 15 yr ago) were compared with the adjacent undisturbed vegetation and soils. There was limited success in restoration with clear differences in soil nutrients, extent of vegetation cover, plant species composition, and height of vegetation between the track and adjacent natural vegetation sampled using 1 m(2) quadrats. The study highlights the need for limiting disturbance in such environments, and for ongoing rehabilitation in areas that have been disturbed. It also indicates that when non-native species are used in rehabilitation, they may not necessarily be succeeded by natives, particularly if soil conditions do not return to a state similar to undisturbed areas.</t>
  </si>
  <si>
    <t>Edith Cowan Univ, Sch Mkt Tourism &amp; Leisure, Joondalup, WA 6027, Australia; Griffith Univ, Sch Environm &amp; Appl Sci, Gold Coast Mail Centre, Qld 9726, Australia</t>
  </si>
  <si>
    <t>Edith Cowan University; Griffith University; Griffith University - Gold Coast Campus</t>
  </si>
  <si>
    <t>Scherrer, P (corresponding author), Edith Cowan Univ, Sch Mkt Tourism &amp; Leisure, 100 Joondalup Dr, Joondalup, WA 6027, Australia.</t>
  </si>
  <si>
    <t>p.scherrer@ecu.edu.au</t>
  </si>
  <si>
    <t>Scherrer, Pascal/AFL-3548-2022</t>
  </si>
  <si>
    <t>Scherrer, Pascal/0000-0002-3229-9524; Pickering, Catherine/0000-0002-3731-5407</t>
  </si>
  <si>
    <t>10.1657/1523-0430(2006)38[239:ROAHOA]2.0.CO;2</t>
  </si>
  <si>
    <t>WOS:000237814100011</t>
  </si>
  <si>
    <t>Schimel, JP; Fahnestock, J; Michaelson, G; Mikan, C; Ping, CL; Romanovsky, VE; Welker, J</t>
  </si>
  <si>
    <t>Schimel, Joshua P.; Fahnestock, Jace; Michaelson, Gary; Mikan, Carl; Ping, Chien-Lu; Romanovsky, Vladimir E.; Welker, Jeff</t>
  </si>
  <si>
    <t>Cold-season production of CO2 in arctic soils:: Can laboratory and field estimates be reconciled through a simple modeling approach?</t>
  </si>
  <si>
    <t>MICROBIAL ACTIVITY; CARBON-DIOXIDE; NITROGEN MINERALIZATION; ACTIVE LAYER; TUNDRA; WINTER; SNOW; RESPIRATION; EFFLUX; TEMPERATURE</t>
  </si>
  <si>
    <t>Microbial activity in arctic tundra soils has been evaluated through both lab incubations and field flux measurements. To determine whether these different measurement approaches can be directly linked to each other, we developed a simple model of soil microbial CO2 production during the cold season in tussock tundra, moss tundra, and wet meadow tundra in the Alaskan Arctic. The model incorporated laboratory-based estimates of microbial temperature responses at sub-zero temperatures with field measurements of C stocks through the soil profile and daily temperature measurements at the sites. Estimates of total CO2 production overestimated in situ cold season CO2 fluxes for the studied sites by as much as two- to threefold, suggesting that either CO2 produced in situ does not efflux during the cold season or that microbial respiration potentials are constrained by some other factor in situ. Average estimated winter CO2 production was near 120 g C m(-2) in moist tundra and 60 g C m(-2) in wet meadow tundra. Production was strongly seasonal, with most of the winter CO2 production happening early in the winter, before soils froze completely through. Roughly two-thirds of the total estimated CO2 production was from deep soils, largely mineral soils, in contrast to growing season CO2 dynamics.</t>
  </si>
  <si>
    <t>Univ Calif Santa Barbara, Dept Ecol Evolut &amp; Marine Biol, Santa Barbara, CA 93106 USA; Univ Alaska Anchorage, Nat Resources Inst, Anchorage, AK 99501 USA; Univ Alaska Fairbanks, Agr &amp; Forestry Exploratory Stn, Palmer, AK 99645 USA; Univ Alaska Fairbanks, Inst Geophys, Fairbanks, AK 99775 USA</t>
  </si>
  <si>
    <t>University of California System; University of California Santa Barbara; University of Alaska System; University of Alaska Anchorage; University of Alaska System; University of Alaska Fairbanks; University of Alaska System; University of Alaska Fairbanks</t>
  </si>
  <si>
    <t>Schimel, JP (corresponding author), Univ Calif Santa Barbara, Dept Ecol Evolut &amp; Marine Biol, Santa Barbara, CA 93106 USA.</t>
  </si>
  <si>
    <t>schimel@lifesci.ucsb.edu</t>
  </si>
  <si>
    <t>Welker, Jeffrey M/C-9493-2013; Schimel, Joshua/AAE-7380-2019</t>
  </si>
  <si>
    <t>Schimel, Joshua/0000-0002-1022-6623</t>
  </si>
  <si>
    <t>10.1657/1523-0430(2006)38[249:CPOCIA]2.0.CO;2</t>
  </si>
  <si>
    <t>WOS:000237814100012</t>
  </si>
  <si>
    <t>Schmidt, NM; Baittinger, C; Forchhammer, MC</t>
  </si>
  <si>
    <t>Schmidt, Niels M.; Baittinger, Claudia; Forchhammer, Mads C.</t>
  </si>
  <si>
    <t>Reconstructing century-long snow regimes using estimates of high arctic Salix arctica radial growth</t>
  </si>
  <si>
    <t>TREE GROWTH; PINUS-CEMBRA; PICEA-ABIES; CLIMATE; VARIABILITY; TEMPERATURE; OSCILLATION; TIMBERLINE; HERBIVORES; RESPONSES</t>
  </si>
  <si>
    <t>Using a combination of microscopic examination and electronic scanning and printing, we analyzed the impacts of early spring snow cover extent and temperature during the growing season on the annual radial growth in arctic willow (Salix arctica Pallas) in the Zackenberg valley, High Arctic Northeast Greenland. So far, only little dendroclimatological research has been conducted on Salix arctica, and the species constitutes a yet-untapped resource for climate reconstruction in the Arctic. We obtained reliable annual radial growth measurements from a total of 43 Salix arctica stem samples and analyzed these in a mixed model to determine the limiting climatic factors. We found that early spring snow cover extent impacted the annual growth significantly, whereas variable temperature regimes seemed unimportant. Following the building of a site chronology for the Zackenberg valley, the early spring snow cover extent during the last century was reconstructed.</t>
  </si>
  <si>
    <t>Royal Vet &amp; Agr Univ, Dept Ecol, Zool Grp, DK-1871 Frederiksberg, Denmark; N European Dendro Lab, DK-1430 Copenhagen, Denmark; Natl Museum Denmark, DK-1220 Copenhagen, Denmark; Univ Copenhagen, Dept Populat Biol, Inst Biol, DK-2100 Copenhagen, Denmark; Natl Environm Res Inst, Dept Arctic Environm, DK-4000 Roskilde, Denmark</t>
  </si>
  <si>
    <t>University of Copenhagen; University of Copenhagen; Aarhus University</t>
  </si>
  <si>
    <t>Schmidt, NM (corresponding author), Royal Vet &amp; Agr Univ, Dept Ecol, Zool Grp, Thorvaldsensvej 40, DK-1871 Frederiksberg, Denmark.</t>
  </si>
  <si>
    <t>nms@kvl.dk</t>
  </si>
  <si>
    <t>Forchhammer, Mads/I-7474-2013; Schmidt, Niels Martin/G-3843-2011</t>
  </si>
  <si>
    <t>Schmidt, Niels Martin/0000-0002-4166-6218</t>
  </si>
  <si>
    <t>10.1657/1523-0430(2006)38[257:RCSRUE]2.0.CO;2</t>
  </si>
  <si>
    <t>WOS:000237814100013</t>
  </si>
  <si>
    <t>Sorensen, PL; Jonasson, S; Michelsen, A</t>
  </si>
  <si>
    <t>Sorensen, Pernille L.; Jonasson, Sven; Michelsen, Anders</t>
  </si>
  <si>
    <t>Nitrogen fixation, denitrification, and ecosystem nitrogen pools in relation to vegetation development in the subarctic</t>
  </si>
  <si>
    <t>FREE-LIVING CYANOBACTERIA; POLAR DESERT ECOSYSTEM; DEVON ISLAND; ACETYLENE-REDUCTION; CRYPTOGAMIC CRUSTS; PRIMARY SUCCESSION; CLIMATE-CHANGE; SOIL; NWT; TUNDRA</t>
  </si>
  <si>
    <t>Nitrogen (N) fixation, denitrification, and ecosystem pools of nitrogen were measured in three subarctic ecosystem types differing in soil frost-heaving activity and vegetation cover. N-2-fixation was measured by the acetylene reduction assay and convened to absolute N ecosystem input by estimates of conversion factors between acetylene reduction and N-15 incorporation. One aim was to relate nitrogen fluxes and nitrogen pools to the mosaic of ecosystem types of different stability common in areas of soil frost movements. A second aim was to identify abiotic controls on N2-fixation by simultaneous measurements of temperature, light, and soil moisture. Nitrogen fixation rate was high with seasonal input estimated at 1.1 g N m(-2) on frost-heaved sorted circles, which was higher than the total plant N content and exceeded estimated annual plant N uptake several-fold but was lower than the microbial N content. Seasonal fixation decreased to 0.88 g N m(-2) on frost-heaved moss-covered surfaces and to 0.25 g N m(-2) in stable heath vegetation, both lower than the plant and microbial N content. Yet fixation was estimated to correspond to about 2.7 times the annual plant N demand on the moss-covered surfaces but less than the plants' demand on the heath. Surprisingly, we found no denitrification on any surface. Climatic changes in the Arctic will generate a warmer climate and change precipitation patterns. A warmer, drier environment will decrease N2-fixation and thereby N availability to plants and microorganisms, while wetter conditions probably will increase N2-fixation and thereby N supply to the surroundings.</t>
  </si>
  <si>
    <t>Univ Copenhagen, Dept Terr Ecol, Inst Biol, DK-1353 Copenhagen K, Denmark</t>
  </si>
  <si>
    <t>Sorensen, PL (corresponding author), Univ Copenhagen, Dept Terr Ecol, Inst Biol, Oster Farimagsgade 2 D, DK-1353 Copenhagen K, Denmark.</t>
  </si>
  <si>
    <t>pemills@bi.ku.dk</t>
  </si>
  <si>
    <t>Michelsen, Anders/L-5279-2014</t>
  </si>
  <si>
    <t>Michelsen, Anders/0000-0002-9541-8658</t>
  </si>
  <si>
    <t>10.1657/1523-0430(2006)38[263:NFDAEN]2.0.CO;2</t>
  </si>
  <si>
    <t>WOS:000237814100014</t>
  </si>
  <si>
    <t>Sutton, JT; Hermanutz, L; Jacobs, JD</t>
  </si>
  <si>
    <t>Sutton, Jolene T.; Hermanutz, Luise; Jacobs, John D.</t>
  </si>
  <si>
    <t>Are frost boils important for the recruitment of arctic-alpine plants?</t>
  </si>
  <si>
    <t>SEEDLING ESTABLISHMENT</t>
  </si>
  <si>
    <t>To determine if canopy gaps offer safe sites for recruitment and persistence of arctic-alpine plants, we compared seedling densities in frost boils and closed vegetation, and examined persistence of Diapensia lapponica within frost boils. Seedling density was greater within frost boils, and D. lapponica numbers increased in resurveyed frost boils, suggesting persistence. Lower seed bank size combined with higher seedling numbers confirmed that frost boils represent favorable sites for germination.</t>
  </si>
  <si>
    <t>Mem Univ Newfoundland, Dept Biol, St John, NF A1B 3X9, Canada; Mem Univ Newfoundland, Dept Geog, St John, NF A1B 3X9, Canada</t>
  </si>
  <si>
    <t>Memorial University Newfoundland; Memorial University Newfoundland</t>
  </si>
  <si>
    <t>Hermanutz, L (corresponding author), Mem Univ Newfoundland, Dept Biol, St John, NF A1B 3X9, Canada.</t>
  </si>
  <si>
    <t>lhermanu@mun.ca</t>
  </si>
  <si>
    <t>Sutton, Jolene T/C-2715-2009</t>
  </si>
  <si>
    <t>10.1657/1523-0430(2006)38[273:AFBIFT]2.0.CO;2</t>
  </si>
  <si>
    <t>WOS:000237814100015</t>
  </si>
  <si>
    <t>Wenzens, G</t>
  </si>
  <si>
    <t>Terminal moraines, outwash plains, and lake terraces in the vicinity of Lago Cardiel (49○S; Patagonia, Argentina) -: Evidence for miocene andean foreland glaciations</t>
  </si>
  <si>
    <t>SOUTHERN ANDES; HISTORY; AMERICA; MAXIMUM; VALLEY; BASIN; CHILE; EAST</t>
  </si>
  <si>
    <t>Nine late Miocene glacier advances are identified in the Lago Cardiel region (49 degrees S, 72 degrees 15'W in southern South America), a region that until now has been assumed to be unglaciated. Several dating results indicate a minimum age of 6.4 Ma for four advances of the Monte San Lorenzo lobe terminating east of Lago Cardiel and 6.6 Ma for the three oldest glaciations of the San Martin lobe terminating south of this lake. Two further advances have a minimum age of 5.4 Ma. Eleven to 14 m.y. old basaltic lava, which partly covers Patagonian Gravel, indicates the maximum age of these advances. The two oldest terminal moraines of the San Martin glacier are only modestly incised into the Patagonian Gravel suggesting an age of 9 to 10.5 Ma. These age estimates are especially accurate for both meseta glaciations of the San Lorenzo lobe. These glaciers were about 240 km long during their Miocene maximum, which is four times their length during the Last Glacial Maximum. Hence, the late Miocene glacier advances require colder and/or more humid conditions that were considerably longer lasting than the Pleistocene glaciations. Due to glacial meltwater, Lago Cardiel was significantly larger and served as a regional catchment area during these early glaciations in southern South America. The erratic boulders of the southeastern lake terraces at more than 350 m above modem lake level may be attributed to the oldest late Miocene moraine or outwash plain.</t>
  </si>
  <si>
    <t>Univ Dusseldorf, Dept Geog, D-40225 Dusseldorf, Germany</t>
  </si>
  <si>
    <t>Heinrich Heine University Dusseldorf</t>
  </si>
  <si>
    <t>Wenzens, G (corresponding author), Univ Dusseldorf, Dept Geog, D-40225 Dusseldorf, Germany.</t>
  </si>
  <si>
    <t>Gerd.Wenzens@uni-duesseldorf.de</t>
  </si>
  <si>
    <t>10.1657/1523-0430(2006)38[276:TMOPAL]2.0.CO;2</t>
  </si>
  <si>
    <t>WOS:000237814100016</t>
  </si>
  <si>
    <t>Zacharda, M; Kucera, T</t>
  </si>
  <si>
    <t>Zacharda, Miloslav; Kucera, Tomas</t>
  </si>
  <si>
    <t>Diversity of predatory rhagidiid mites (Acari: Rhagidiidae) inhabiting montane stony debris in the Otztal Alps, North Tyrol, Austria</t>
  </si>
  <si>
    <t>PROSTIGMATA; GENUS; AMERICA; TAXA; THORELL; KEY</t>
  </si>
  <si>
    <t>Critical revision is presented of taxa comprising 27 verified species of Rhagidiidae from the Alps. Assemblages of endemic, Palearctic, and Holarctic Rhagidiidae inhabiting montane stony debris in the Otztal Alps, North Tyrol, Austria, consist of 2 to 9 species, and Poecilophysis pseudoreflexa is the most abundant and widely distributed species. The highest species richness and endemism are in the mid-alpine zone (2400-2600 in a.s.l.) and the high alpine zone (2600-2800 in a.s.l.). A particular assemblage of rhagidiids of low diversity occurred in voids of a bare scree slope. Cluster and numerical multivariate analyses revealed that (1) the different altitudinal niches of a majority of common species overlap, but some species become rare with increasing altitude; (2) additional species of rhagidiid mites might be expected to be found in special, previously uncollected microhabitats; (3) rhagidiid mites having some affinities to specific environmental factors can be distinguished; (4) the altitudinal gradient proved to be the significant complex environmental factor influencing the occurrence of mites; (5) moisture proved to influence abundance of mites but has no direct relation to species identity; and (6) in contrast, dryness proved to be bound with the occurrence of particular species of rhagidiid mites.</t>
  </si>
  <si>
    <t>Acad Sci Czech Republ, Inst Syst Biol &amp; Ecol, Ceske Budejovice 37005, Czech Republic</t>
  </si>
  <si>
    <t>Czech Academy of Sciences</t>
  </si>
  <si>
    <t>Zacharda, M (corresponding author), Acad Sci Czech Republ, Inst Syst Biol &amp; Ecol, Na Sadkach 7, Ceske Budejovice 37005, Czech Republic.</t>
  </si>
  <si>
    <t>zacharda@usbe.cas.cz</t>
  </si>
  <si>
    <t>Kučera, Tomáš/IUN-4969-2023</t>
  </si>
  <si>
    <t>Kucera, Tomas/0000-0001-7587-7032</t>
  </si>
  <si>
    <t>10.1657/1523-0430(2006)38[292:DOPRMA]2.0.CO;2</t>
  </si>
  <si>
    <t>WOS:000237814100017</t>
  </si>
  <si>
    <t>Phillips, RA; Silk, JRD; Croxall, JP; Afanasyev, V</t>
  </si>
  <si>
    <t>Year-round distribution of white-chinned petrels from South Georgia: Relationships with oceanography and fisheries</t>
  </si>
  <si>
    <t>bycatch; conservation; incidental mortality; migration; winter philopatry</t>
  </si>
  <si>
    <t>LONGLINE FISHING VESSELS; AT-SEA DISTRIBUTION; PROCELLARIA-AEQUINOCTIALIS; FORAGING ECOLOGY; SEABIRD MORTALITY; LINNAEUS 1758; BIRD ISLAND; BY-CATCH; ALBATROSSES; OCEAN</t>
  </si>
  <si>
    <t>The white-chinned petrel Procellaria aequinoctialis is a medium-sized procellariiform with a circumpolar subAntarctic breeding distribution. Feeding during both day and night, and often competing aggressively for bait, offal and discards, it has the highest incidental mortality rate of any seabird in Southern Ocean longline fisheries. Although still abundant, the limited census data suggest rapid population declines. Using geolocators, the movements of 10 white-chinned petrels from South Georgia were tracked for 226-664 days, which in combination with previous satellite-tracking provided the first comprehensive description of migration routes and year-round distribution of this species from any site. All birds migrated to Patagonian Shelf and shelf-break waters, concentrating in highly productive areas east of the River Plate estuary and to a lesser extent on the open shelf off central Argentina. Two birds traveled initially to the southern Patagonian Shelf but then moved in mid-winter to the Humboldt Current (Chile), before returning directly to South Georgia. One bird adopted this strategy in two winters, and was consistent in timing of return migration to South Georgia, but not of arrival off Chile. Despite the distance (&gt; 2000 km), birds returned to feeding sites on the Patagonian Shelf for all pre-laying exodus, and most incubation, trips. In contrast, most chick-rearing trips were to the local shelf, central Scotia Sea or South Orkney Islands, on average only 610 km from the colony. The distribution of white-chinned petrels overlapped with several major fisheries, many of which are known or suspected to have high rates of seabird bycatch. Until this issue is addressed, the status of the white-chinned petrel population at South Georgia should be viewed with considerable concern. (c) 2005 Elsevier Ltd. All rights reserved.</t>
  </si>
  <si>
    <t>British Antarctic Survey, Nat Environm Res Council, High Cross,Madingley Rd, Cambridge CB3 0ET, England.</t>
  </si>
  <si>
    <t>raphil@bas.ac.uk</t>
  </si>
  <si>
    <t>10.1016/j.biocon.2005.10.046</t>
  </si>
  <si>
    <t>034VV</t>
  </si>
  <si>
    <t>WOS:000236959600005</t>
  </si>
  <si>
    <t>Van Hove, P; Belzile, C; Gibson, JAE; Vincent, WF</t>
  </si>
  <si>
    <t>Van Hove, Patrick; Belzile, Claude; Gibson, John A. E.; Vincent, Warwick F.</t>
  </si>
  <si>
    <t>Coupled landscape-lake evolution in High Arctic Canada</t>
  </si>
  <si>
    <t>CANADIAN JOURNAL OF EARTH SCIENCES</t>
  </si>
  <si>
    <t>INNUITIAN ICE-SHEET; ELLESMERE-ISLAND; PHYSICOCHEMICAL CHARACTERISTICS; ENVIRONMENTAL-CHANGE; CORNWALLIS ISLAND; MEROMICTIC LAKES; VESTFOLD HILLS; CHAR LAKE; LIMNOLOGY; FJORD</t>
  </si>
  <si>
    <t>We profiled five ice-covered lakes and two ice-covered fiords of Ellesmere Island at the northern limit of High Arctic Canada to examine their environmental characteristics, and to evaluate the long-term limnological consequences of changes in their surrounding landscape through time (landscape evolution). All of the ecosystems showed strong patterns of thermal, chemical, and biological stratification with subsurface temperature maxima from 0.75 to 12.15 degrees C; conductivities up to 98.1 mS cm(-1) (twice that of seawater) in some bottom waters; pronounced gradients in nitrogen, phosphorus, pH, dissolved inorganic and organic carbon, manganese, iron, and oxygen; and stratified photosynthetic communities. These ecosystems form an inferred chronosequence that reflects different steps of landscape evolution including marine embayments open to the sea, inlets blocked by thick sea ice (Disraeli Fiord, Taconite Inlet), perennially ice-capped, saline lakes isolated from the sea by isostatic uplift (Lakes A, C1, C2), and isolated lakes that lose their ice cover in summer. The latter are subject to entrainment of saline water into their upper water column by wind-induced mixing (Lake Romulus; Lake A in 2000), or complete flushing of their basins by dilute snowmelt (Lake C3 and Char Lake, which lies 650 km to the south of the Ellesmere lakes region). This chronosequence illustrates how changes in geomorphology and other landscape properties may influence the limnology of coastal, high-latitude lakes, and it provides a framework to explore the potential impacts of climate change.</t>
  </si>
  <si>
    <t>Univ Laval, Dept Biol, Quebec City, PQ G1K 7P4, Canada; Univ Laval, Ctr Etud Nord, Quebec City, PQ G1K 7P4, Canada; Univ Quebec, Inst Sci Mer Rimouski, Rimouski, PQ G5L 3A1, Canada; Univ Tasmania, Inst Antarctic &amp; So Ocean Studies, Hobart, Tas 7001, Australia</t>
  </si>
  <si>
    <t>Laval University; Laval University; University of Quebec; University of Tasmania</t>
  </si>
  <si>
    <t>Vincent, WF (corresponding author), Univ Laval, Dept Biol, Quebec City, PQ G1K 7P4, Canada.</t>
  </si>
  <si>
    <t>warwick.vincent@bio.ulaval.ca</t>
  </si>
  <si>
    <t>Vincent, Warwick/AAH-6152-2019; Vincent, Warwick F/C-9522-2009</t>
  </si>
  <si>
    <t>Vincent, Warwick/0000-0001-9055-1938; Belzile, Claude/0000-0003-3908-7433</t>
  </si>
  <si>
    <t>CANADIAN SCIENCE PUBLISHING</t>
  </si>
  <si>
    <t>0008-4077</t>
  </si>
  <si>
    <t>1480-3313</t>
  </si>
  <si>
    <t>CAN J EARTH SCI</t>
  </si>
  <si>
    <t>Can. J. Earth Sci.</t>
  </si>
  <si>
    <t>10.1139/E06-003</t>
  </si>
  <si>
    <t>058PY</t>
  </si>
  <si>
    <t>WOS:000238678300001</t>
  </si>
  <si>
    <t>Saito, T; Yokouchi, Y; Aoki, S; Nakazawa, T; Fujii, Y; Watanabe, O</t>
  </si>
  <si>
    <t>Saito, Takuya; Yokouchi, Yoko; Aoki, Shuji; Nakazawa, Takakiyo; Fujii, Yoshiyuki; Watanabe, Okitsugu</t>
  </si>
  <si>
    <t>A method for determination of methyl chloride concentration in air trapped in ice cores</t>
  </si>
  <si>
    <t>methyl halide; gas chromatography; stratospheric ozone; antarctica; paleoclimate</t>
  </si>
  <si>
    <t>ATMOSPHERE; EMISSIONS; RECORD; FIRN</t>
  </si>
  <si>
    <t>A method for measuring the concentration of methyl chloride (CH3Cl) in air trapped in an ice core was developed. The method combines the air extraction by milling the ice core samples under vacuum and the analysis of the extracted air with a cryogenic preconcentration/gas chromatograph/mass spectrometry system. The method was applied to air from Antarctic ice core samples estimated to have been formed in the pre-industrial and/or early industrial periods. The overall precision of the method deduced from duplicate ice core analyses was estimated to be better than +/- 20 pptv. The measured CH3Cl concentration of 528 +/- 26 pptv was similar to the present-day concentration in the remote atmosphere as well as the CH3Cl concentration over the past 300 years obtained from Antarctic firn air and ice core analyses. (c) 2005 Elsevier Ltd. All rights reserved.</t>
  </si>
  <si>
    <t>Natl Inst Environm Studies, Environm Chem Div, Tsukuba, Ibaraki 3058506, Japan; Japan Soc Promot Sci, Chiyoda Ku, Tokyo 1028471, Japan; Tohoku Univ, Grad Sch Sci, Ctr Atmospher &amp; Ocean Studies, Sendai, Miyagi 9808578, Japan; Natl Inst Polar Res, Tokyo 1738515, Japan</t>
  </si>
  <si>
    <t>National Institute for Environmental Studies - Japan; Japan Society for the Promotion of Science; Tohoku University; Research Organization of Information &amp; Systems (ROIS); National Institute of Polar Research (NIPR) - Japan</t>
  </si>
  <si>
    <t>Saito, T (corresponding author), Natl Inst Environm Studies, Environm Chem Div, 16-2 Onogawa, Tsukuba, Ibaraki 3058506, Japan.</t>
  </si>
  <si>
    <t>saito.takuya@nies.go.jp</t>
  </si>
  <si>
    <t>Saito, Takuya/E-5877-2010; 陽子, 横内/E-8041-2010</t>
  </si>
  <si>
    <t>10.1016/j.chemosphere.2005.08.075</t>
  </si>
  <si>
    <t>046VJ</t>
  </si>
  <si>
    <t>WOS:000237838900018</t>
  </si>
  <si>
    <t>Fan, K</t>
  </si>
  <si>
    <t>Fan Ke</t>
  </si>
  <si>
    <t>Atmospheric circulation anomalies in the Southern Hemisphere and summer rainfall over Yangtze River Valley</t>
  </si>
  <si>
    <t>CHINESE JOURNAL OF GEOPHYSICS-CHINESE EDITION</t>
  </si>
  <si>
    <t>Chinese</t>
  </si>
  <si>
    <t>Southern Hemisphere; spring circulation anomaly; Yangtze River Valley; summer rainfall; correlation</t>
  </si>
  <si>
    <t>INTERANNUAL VARIABILITY</t>
  </si>
  <si>
    <t>The relationship between the Southern Hemisphere (SH) atmospheric circulation anomalies and the summer rainfall over the Yangtze River Valley is analyzed. The results show that Antarctic Oscillation (AAO) in spring (MAM) is much remarkable than that in summer. The Subtropical High in SH has good seasonal persistence from spring to summer. Therefore, the spring SH circulation anomaly is one of important short-term climate predictors for summer rainfall over the Yangtze River Valley. The interaction of circulation at high latitudes between the Southern and Northern Hemispheres impacts the summer rainfall over the Yangtze River Valley. One possible physical mechanism for it is barotropical wave train distributed from high latitude in the SH to coasts of East Asia. Another reason is that the inter-hemispheric temperature gradient decreases due to the SH temperature increase in the whole troposphere from spring to summer, consequently causing the weaker summer Asian monsoon and more summer rainfall over the Yangtze River Valley.</t>
  </si>
  <si>
    <t>Chinese Acad Sci, Nansenzhu Int Res Ctr, Inst Atmospher Phys, Beijing 100029, Peoples R China; Yunnan Univ, Dept Atmospher Sci, Kunming 650091, Peoples R China; Chinese Acad Sci, Grad Sch, Beijing 100039, Peoples R China</t>
  </si>
  <si>
    <t>Chinese Academy of Sciences; Institute of Atmospheric Physics, CAS; Yunnan University; Chinese Academy of Sciences; University of Chinese Academy of Sciences, CAS</t>
  </si>
  <si>
    <t>Fan, K (corresponding author), Chinese Acad Sci, Nansenzhu Int Res Ctr, Inst Atmospher Phys, Beijing 100029, Peoples R China.</t>
  </si>
  <si>
    <t>fanke@mail.iap.ac.cn</t>
  </si>
  <si>
    <t>Fan, K/GXH-3734-2022; Fan, Ke/AAJ-2315-2020</t>
  </si>
  <si>
    <t>0001-5733</t>
  </si>
  <si>
    <t>CHINESE J GEOPHYS-CH</t>
  </si>
  <si>
    <t>Chinese J. Geophys.-Chinese Ed.</t>
  </si>
  <si>
    <t>047IM</t>
  </si>
  <si>
    <t>WOS:000237873000009</t>
  </si>
  <si>
    <t>Lenton, TM</t>
  </si>
  <si>
    <t>Lenton, Timothy M.</t>
  </si>
  <si>
    <t>Climate change to the end of the millennium - An editorial review essay</t>
  </si>
  <si>
    <t>CLIMATIC CHANGE</t>
  </si>
  <si>
    <t>GREENLAND ICE-SHEET; OCEAN-ATMOSPHERE MODEL; SEA-LEVEL RISE; EARTH SYSTEM MODEL; THERMOHALINE CIRCULATION; INTERMEDIATE COMPLEXITY; CARBON-CYCLE; CO2 CONCENTRATION; GLOBAL CARBON; MASS-BALANCE</t>
  </si>
  <si>
    <t>Anthropogenic climate change will continue long after anthropogenic CO2 emissions cease. Atmospheric CO2, global warming and ocean circulation will approach equilibrium on the millennial timescale, whereas thermal expansion of the ocean, ice sheet melt and their contributions to sea level rise are unlikely to be complete. Atmospheric CO2 in year 3000 depends non-linearly on the total amount Of CO2 emitted and is very likely to exceed the present level of similar to 380 ppmv. CO2 is doubled for similar to 2500 GtC emitted, quadrupled if all similar to 5000 GtC of conventional fossil fuel resources are emitted, and increases by a factor of similar to 32 if a further 20,000 GtC of exotic fossil fuel resources are emitted. Global warming in year 3000 will also depend on climate sensitivity to doubling CO2, which is most probably similar to 3 degrees C but highly uncertain. Thermal expansion will contribute 0.5-2 m to millennial sea level rise for each doubling of CO2. The Greenland ice sheet could melt completely within the millennium under &gt; 8 x CO2, adding a further similar to 7 m to sea level. The rate of melt depends on the magnitude of forcing above a regional warming threshold of 1-3 degrees C. The West Antarctic ice sheet could be threatened by 4-10 degrees C local warming, and its potential contribution to millennial sea level rise exceeds current maximum estimates of similar to 1 m. The fate of the ocean thermohaline circulation may depend on the rate as well as the magnitude of forcing.</t>
  </si>
  <si>
    <t>Univ E Anglia, Tyndall Ctr Climate Change Res, Norwich NR4 7TJ, Norfolk, England; Univ E Anglia, Sch Environm Sci, Norwich NR4 7TJ, Norfolk, England</t>
  </si>
  <si>
    <t>University of East Anglia; University of East Anglia</t>
  </si>
  <si>
    <t>Lenton, TM (corresponding author), Univ E Anglia, Tyndall Ctr Climate Change Res, Norwich NR4 7TJ, Norfolk, England.</t>
  </si>
  <si>
    <t>t.lenton@uea.ac.uk</t>
  </si>
  <si>
    <t>Lenton, Tim M/X-1893-2018</t>
  </si>
  <si>
    <t>Lenton, Tim M/0000-0002-6725-7498</t>
  </si>
  <si>
    <t>NERC [NE/C515904/1] Funding Source: UKRI; Natural Environment Research Council [NE/C515904/1] Funding Source: researchfish</t>
  </si>
  <si>
    <t>0165-0009</t>
  </si>
  <si>
    <t>1573-1480</t>
  </si>
  <si>
    <t>Clim. Change</t>
  </si>
  <si>
    <t>10.1007/s10584-005-9022-1</t>
  </si>
  <si>
    <t>064AC</t>
  </si>
  <si>
    <t>WOS:000239060600002</t>
  </si>
  <si>
    <t>Thomson, PG; Davidson, AT; Pearce, I</t>
  </si>
  <si>
    <t>Do 'leaky' marine bacteria holiday in the Southern Ocean?</t>
  </si>
  <si>
    <t>CYTOMETRY PART A</t>
  </si>
  <si>
    <t>7th Samuel A Latt Conference on Stem Cells in the Age of Fluorescence Technology</t>
  </si>
  <si>
    <t>NOV 06-09, 2005</t>
  </si>
  <si>
    <t>Queensland, AUSTRIA</t>
  </si>
  <si>
    <t>Antarctic Climate &amp; Ecosyst CRC, Kingston, Tas, Australia; Australian Antarctic Div, Kingston, Tas, Australia</t>
  </si>
  <si>
    <t>WILEY-LISS</t>
  </si>
  <si>
    <t>DIV JOHN WILEY &amp; SONS INC, 111 RIVER ST, HOBOKEN, NJ 07030 USA</t>
  </si>
  <si>
    <t>1552-4922</t>
  </si>
  <si>
    <t>CYTOM PART A</t>
  </si>
  <si>
    <t>Cytom. Part A</t>
  </si>
  <si>
    <t>69A</t>
  </si>
  <si>
    <t>Biochemical Research Methods; Cell Biology</t>
  </si>
  <si>
    <t>037ZU</t>
  </si>
  <si>
    <t>WOS:000237187700029</t>
  </si>
  <si>
    <t>Ingalls, AE; Liu, ZF; Lee, C</t>
  </si>
  <si>
    <t>Ingalls, Anitra E.; Liu, Zhanfei; Lee, Cindy</t>
  </si>
  <si>
    <t>Seasonal trends in the pigment and amino acid compositions of sinking particles in biogenic CaCO3 and SiO2 dominated regions of the Pacific sector of the Southern Ocean along 170°W</t>
  </si>
  <si>
    <t>sinking particles; diatom-bound organic matter; Southern Ocean; amino acids; pigments; sediment traps; ballast</t>
  </si>
  <si>
    <t>ANTARCTIC POLAR FRONT; PARTICULATE ORGANIC-CARBON; COMMUNITY STRUCTURE; ISOTOPIC FRACTIONATION; DIAGENETIC ALTERATION; RAPID-DETERMINATION; DEEP-OCEAN; NORTH-SEA; DIATOM; MATTER</t>
  </si>
  <si>
    <t>We investigated amino acids and pigments in particles settling through the water column of the Southern Ocean and showed that spatial and temporal differences in phytoplankton source and consumer population influence sinking particle composition. Sediment traps were deployed along 170 degrees W from November 1996 to March 1998 as part of the United States Joint Global Ocean Flux Study (US JGOFS) Antarctic Environment Southern Ocean Process Study (AESOPS) program. Peak fluxes of amino acids and pigments occurred during austral spring and summer (November April) and were highest in the Antarctic Circumpolar Current (ACC). Compositional changes in pigments and total hydrolyzed amino acids demonstrate how the source of sinking particles varies with latitude and suggest that sinking material was most degraded in relatively diatom-depleted regions and toward the end of the high-flux period (February-M arch). At the Subantarctic Front, high proportions of pheophytin and beta-alanine illustrate the important role of microbes in degradation. Further south at the Antarctic Polar Front, glycine, pyropheophorbide, and pheophorbide enrichments reflected a greater contribution of diatoms and greater processing by zooplankton grazers. Even further south in the ACC, enrichments of the diatom pigment fucoxanthin, diatom cell wall indicators glycine and serine, and diatom frustule-bound amino acids suggested the settling of empty frustules and aggregates. Despite being protected by the mineral, diatom-bound amino acids were not preferentially preserved between shallow and deep traps, possibly because of silica dissolution and a relatively small amount of organic carbon remineralization. Our results show that organic matter at diatom-rich stations is removed by mechanisms that do not result in the appearance of organic matter degradation indicators. Recent observations that calcium carbonate has a higher carrying capacity for sinking organic matter than silica may be related to diatom silicification, physiological status and decomposition pathway. (c) 2006 Elsevier Ltd. All rights reserved.</t>
  </si>
  <si>
    <t>SUNY Stony Brook, Marine Sci Res Ctr, Stony Brook, NY 11794 USA</t>
  </si>
  <si>
    <t>State University of New York (SUNY) System; State University of New York (SUNY) Stony Brook</t>
  </si>
  <si>
    <t>Ingalls, AE (corresponding author), Univ Washington, Sch Oceanog, Box 355351, Seattle, WA 98195 USA.</t>
  </si>
  <si>
    <t>aingalls@u.washington.edu</t>
  </si>
  <si>
    <t>Liu, Zhanfei/B-5613-2014; Lee, Cindy/B-1456-2009</t>
  </si>
  <si>
    <t>Lee, Cindy/0000-0002-7608-6213; Ingalls, Anitra/0000-0003-1953-7329</t>
  </si>
  <si>
    <t>10.1016/j.dsr.2006.01.004</t>
  </si>
  <si>
    <t>058JR</t>
  </si>
  <si>
    <t>WOS:000238661800007</t>
  </si>
  <si>
    <t>Cavacini, P; Tagliaventi, N; Fumanti, B</t>
  </si>
  <si>
    <t>Morphology, ecology and distribution of an endemic Antarctic lacustrine diatom:: Chamaepinnularia cymatopleura comb. nov.</t>
  </si>
  <si>
    <t>DIATOM RESEARCH</t>
  </si>
  <si>
    <t>MCMURDO ICE SHELF; SALINE LAKES; MICROBIAL BIOMASS; PERCHED DELTAS; VESTFOLD HILLS; TAYLOR VALLEY; RAUER ISLANDS; FRESH-WATER; ALGAL MATS; PONDS</t>
  </si>
  <si>
    <t>Specimens belonging to the diatom species Pinnularia cymatopleura collected from benthic cyanobacterial mats of lakes and ponds in Continental Antarctica were examined. In addiction, slides from the West &amp; West collection which contain isotypes of this taxon were also investigated. Light Microscope (LM) and Scanning Electron Microscope (SEM) studies of this diatom reveal that its valve structure possesses features typical of the recently established diatom genus Chamaepinnularia. The most important features that justify the allocation of this taxon to Chamaepinnularia are: - the presence of uniseriate striae composed of alveoli Occluded by external hymenes; - the absence of multiseriate round poroids in the outer wall; - internally an apical series of apertures, located on the valve face separated from a second series on the valve mantle. The new combination Chamaepinnularia cymatopleura (West &amp; G. S. West) Cavacini is proposed. This highly tolerant to salinity taxon is currently only known from a few zones of Continental Antarctica. The absence of records of this taxon in Maritime- and Sub-Antarctica, Australia and South America seem to justify the classification of this species as endemic to Continental Antarctica.</t>
  </si>
  <si>
    <t>Univ Roma La Sapienza, Dipartimento Biol Vegetale, I-00185 Rome, Italy</t>
  </si>
  <si>
    <t>Sapienza University Rome</t>
  </si>
  <si>
    <t>Cavacini, P (corresponding author), Univ Roma La Sapienza, Dipartimento Biol Vegetale, Piazzale Aldo Moro 5, I-00185 Rome, Italy.</t>
  </si>
  <si>
    <t>paolo.cavacini@uniroma1.it</t>
  </si>
  <si>
    <t>BIOPRESS LIMITED</t>
  </si>
  <si>
    <t>THE ORCHARD, CLANAGE RD, BRISTOL BS3 2JX, ENGLAND</t>
  </si>
  <si>
    <t>0269-249X</t>
  </si>
  <si>
    <t>DIATOM RES</t>
  </si>
  <si>
    <t>Diatom Res.</t>
  </si>
  <si>
    <t>038QH</t>
  </si>
  <si>
    <t>WOS:000237237300002</t>
  </si>
  <si>
    <t>Zubov, VA; Rozanov, EV; Shirochkov, AV; Makarova, LN; Egorova, TA; Kiselev, AA; Ozolin, YE; Karol, IL; Schmutz, WK</t>
  </si>
  <si>
    <t>Zubov, V. A.; Rozanov, E. V.; Shirochkov, A. V.; Makarova, L. N.; Egorova, T. A.; Kiselev, A. A.; Ozolin, Yu. E.; Karol, I. L.; Schmutz, W. K.</t>
  </si>
  <si>
    <t>Influence of solar wind on ozone and circulation in the middle atmosphere: A model study</t>
  </si>
  <si>
    <t>DOKLADY EARTH SCIENCES</t>
  </si>
  <si>
    <t>PARAMETERIZATION; STRATOSPHERE</t>
  </si>
  <si>
    <t>Voeikov Main Geophys Observ, St Petersburg 194018, Russia; World Radiat Ctr, Phys Meteorol Observ, CH-7260 Davos, Switzerland; Swiss Fed Inst Technol, Zurich, Switzerland; Arctic &amp; Antarctic Res Inst, St Petersburg 199397, Russia</t>
  </si>
  <si>
    <t>Swiss Federal Institutes of Technology Domain; ETH Zurich; Arctic &amp; Antarctic Research Institute</t>
  </si>
  <si>
    <t>Zubov, VA (corresponding author), Voeikov Main Geophys Observ, Ul Karbysheva 7, St Petersburg 194018, Russia.</t>
  </si>
  <si>
    <t>Rozanov, Eugene/V-1881-2018; Egorova, Tatiana/ABB-4664-2021; Rozanov, Eugene/A-9857-2012; Kiselev, Andrey A/K-8618-2018; Schmutz, Werner K/B-4153-2014</t>
  </si>
  <si>
    <t>Rozanov, Eugene/0000-0003-0479-4488; Egorova, Tatiana/0000-0001-8300-3642; Rozanov, Eugene/0000-0003-0479-4488; Schmutz, Werner K/0000-0003-1159-5639</t>
  </si>
  <si>
    <t>1028-334X</t>
  </si>
  <si>
    <t>1531-8354</t>
  </si>
  <si>
    <t>DOKL EARTH SCI</t>
  </si>
  <si>
    <t>Dokl. Earth Sci.</t>
  </si>
  <si>
    <t>10.1134/S1028334X06040192</t>
  </si>
  <si>
    <t>141KM</t>
  </si>
  <si>
    <t>WOS:000244577300019</t>
  </si>
  <si>
    <t>De Souza, MJ; Nair, S; Bharathi, PAL; Chandramohan, D</t>
  </si>
  <si>
    <t>De Souza, Maria-Judith; Nair, Shanta; Bharathi, P. A. Loka; Chandramohan, D.</t>
  </si>
  <si>
    <t>Metal and antibiotic-resistance in psychrotrophic bacteria from Antarctic Marine waters</t>
  </si>
  <si>
    <t>ECOTOXICOLOGY</t>
  </si>
  <si>
    <t>antibiotic-resistance; metal-resistance; psychrotrophic bacteria; Antarctica</t>
  </si>
  <si>
    <t>MERCURY; TOLERANCE; SEA; COMMUNITY; POPULATION; PLASMIDS; SEDIMENT; PATTERNS; CADMIUM</t>
  </si>
  <si>
    <t>In the wake of the findings that Antarctic krills concentrate heavy metals at ppm level, (Yamamoto et al. 1987), the Antarctic waters from the Indian side were examined for the incidence of metal and antibiotic-resistant bacteria during the austral summer (13th Indian Antarctic expedition) along the cruise track extending from 50 degrees S and 18 degrees E to 65 degrees S and 30 degrees E. The bacterial isolates from these waters showed varying degrees of resistance to antibiotics (Chloramphenicol, ampicillin, streptomycin, tetracycline and kanamycin) and metals (K2CrO4, CdCl2, ZnCl2 and HgCl2) tested. Of the isolates screened, about 29% and 16% were resistant to 100 ppm of cadmium and chromium salt respectively. Tolerance to lower concentration (10 ppm) of mercury (Hg) was observed in 68% of the isolates. Depending on the antibiotics the isolates showed different percentage of resistance. Multiple drug and metal-resistance were observed. High incidence of resistance to both antibiotics and metals were common among the pigmented bacterial isolates. Increased resistance decreased the ability of bacteria to express enzymes. The results reiterate previous findings by other researchers that the waters of southern ocean may not be exempt from the spread of metal and antibiotic-resistance.</t>
  </si>
  <si>
    <t>Natl Inst Oceanog, Div Biol Oceanog, Microbiol Lab, Panaji 403004, Goa, India</t>
  </si>
  <si>
    <t>Council of Scientific &amp; Industrial Research (CSIR) - India; CSIR - National Institute of Oceanography (NIO)</t>
  </si>
  <si>
    <t>De Souza, MJ (corresponding author), Natl Inst Oceanog, Div Biol Oceanog, Microbiol Lab, Panaji 403004, Goa, India.</t>
  </si>
  <si>
    <t>mjudith@darya.nio.org</t>
  </si>
  <si>
    <t>0963-9292</t>
  </si>
  <si>
    <t>1573-3017</t>
  </si>
  <si>
    <t>Ecotoxicology</t>
  </si>
  <si>
    <t>10.1007/s10646-006-0068-2</t>
  </si>
  <si>
    <t>Ecology; Environmental Sciences; Toxicology</t>
  </si>
  <si>
    <t>Environmental Sciences &amp; Ecology; Toxicology</t>
  </si>
  <si>
    <t>056JF</t>
  </si>
  <si>
    <t>WOS:000238518000010</t>
  </si>
  <si>
    <t>Sarris, A</t>
  </si>
  <si>
    <t>Personality, culture fit, and job outcomes on Australian antarctic stations</t>
  </si>
  <si>
    <t>ENVIRONMENT AND BEHAVIOR</t>
  </si>
  <si>
    <t>Antarctic; polar; organizational culture</t>
  </si>
  <si>
    <t>PERFORMANCE; ENVIRONMENTS; BEHAVIOR; PEOPLE; WINTER</t>
  </si>
  <si>
    <t>This study compares the personality characteristics of Australian Antarctic expeditioners with a normative population using the Revised Neo Personality Inventory. It examines the relationship between personality and perceived fit with Antarctic station culture. The study also investigates the relationship between personality, individual attitudes, and job outcomes. including job satisfaction and intention to return to the Antarctic. Participants were 117 men and women who participated in Australian Antarctic expeditions between 1950 and 2000. Results show that expeditioners scored lower on neuroticism and higher on openness compared to the normative population. A relationship between personality and perceived fit with Antarctic station culture is found. Results also show a link between personality and job outcomes, including role conflict, job satisfaction, and actual return to the Antarctic.</t>
  </si>
  <si>
    <t>Univ Adelaide, Dept Psychol, Adelaide, SA 5005, Australia</t>
  </si>
  <si>
    <t>University of Adelaide</t>
  </si>
  <si>
    <t>Sarris, A (corresponding author), Univ Adelaide, Dept Psychol, Adelaide, SA 5005, Australia.</t>
  </si>
  <si>
    <t>a-sarris@psychology.adelaide.edu.au</t>
  </si>
  <si>
    <t>0013-9165</t>
  </si>
  <si>
    <t>ENVIRON BEHAV</t>
  </si>
  <si>
    <t>Environ. Behav.</t>
  </si>
  <si>
    <t>10.1177/0013916505279044</t>
  </si>
  <si>
    <t>Environmental Studies; Psychology, Multidisciplinary</t>
  </si>
  <si>
    <t>Environmental Sciences &amp; Ecology; Psychology</t>
  </si>
  <si>
    <t>034XS</t>
  </si>
  <si>
    <t>WOS:000236964800004</t>
  </si>
  <si>
    <t>Runcie, JW; Riddle, MJ</t>
  </si>
  <si>
    <t>Runcie, John W.; Riddle, Martin J.</t>
  </si>
  <si>
    <t>Photosynthesis of marine macroalgae in ice-covered and ice-free environments in East Antarctica</t>
  </si>
  <si>
    <t>EUROPEAN JOURNAL OF PHYCOLOGY</t>
  </si>
  <si>
    <t>Antarctic; chlorophyll fluorescence; Desmarestia; Himantothallus; irradiance; macroalgae; oxygen evolution; PAM; photosynthesis; quantum yield</t>
  </si>
  <si>
    <t>CHLOROPHYLL-FLUORESCENCE; ARCTIC FJORD; IN-SITU; SEA-ICE; LIGHT; RATES; PHOTOINHIBITION; FLUOROMETRY; PHAEOPHYTA; GROWTH</t>
  </si>
  <si>
    <t>Antarctic macroalgae survive extended periods of darkness followed by rapid and extreme increases in irradiance when sea-ice breaks out in summer. Algae from dark, ice-covered locations had low values of saturating irradiance (E-k: 4-19 mu mol photons m(-2) s(-1)), low relative rates of electron transport (rETR(max): 2.0-3.6 mu mol electrons m(-2) s(-1)) and high values of effective quantum yield (Delta F/F'(m): 0.52-0.70). Algae from brighter open-water locations had high E-k (13-67), high rETR(max) (3.1-22.9) and lower Delta F/F'(m) (0.28-0.50). Overall values of Delta F/Delta F'(m) and maximum quantum yield (F-v/F-m) were generally higher for ice-covered algae. Photosynthetic pigment, C: N and delta C-13 varied little with irradiance. Diel photosynthetic changes were measured in situ using a custom-built, multi-channel fluorometer. Under sea-ice, Delta F/F'(m) of Iridaea mawsonii increased significantly from 0.54 at midday (similar to 4 mu mol photons m(-2) s(-1)) to 0.64 at midnight, despite the relatively low midday irradiance. Delta F/F'(m) of ice-free macroalgae also varied significantly over 24 h and between-sample variation exceeded that of under-ice algae. In vivo comparisons of ETR and oxygen evolution of I. mawsonii, Desmarestia menziesii and Himantothallus grandifolius suggested that over 50% of excitation energy was diverted from linear photosynthetic electron flow at Ek; quenching analysis indicated at least partial diversion to non-photochemical quenching (NPQ). During the increasing irradiance of a rapid light curve, values of photochemical quenching (qP) and NPQ of ice-covered algae changed more rapidly than those of open-water algae. Only ice-free H. grandifolius maintained high qP values when exposed to high actinic irradiances (a capacity apparently induced on sea-ice break out), while both ice-free and ice-covered I. mawsonii maintained high NPQ at low actinic irradiances (apparently a constitutive capacity). These attributes help explain the local distribution of macroalgae in the Antarctic, and show strong linkages with the rapid changes in irradiance during sea-ice break-out events.</t>
  </si>
  <si>
    <t>Univ Technol Sydney, Gore Hill, NSW 2065, Australia; Australian Antarct Div, Kingston, Tas 7050, Australia</t>
  </si>
  <si>
    <t>University of Technology Sydney; Australian Antarctic Division</t>
  </si>
  <si>
    <t>Runcie, JW (corresponding author), Univ Technol Sydney, Westbourne St, Gore Hill, NSW 2065, Australia.</t>
  </si>
  <si>
    <t>john.runcie@uts.edu.au</t>
  </si>
  <si>
    <t>0967-0262</t>
  </si>
  <si>
    <t>1469-4433</t>
  </si>
  <si>
    <t>EUR J PHYCOL</t>
  </si>
  <si>
    <t>Eur. J. Phycol.</t>
  </si>
  <si>
    <t>10.1080/09670260600645824</t>
  </si>
  <si>
    <t>053EE</t>
  </si>
  <si>
    <t>WOS:000238286900009</t>
  </si>
  <si>
    <t>Cusano, AM; Parrilli, E; Duilio, A; Sannia, G; Marino, G; Tutino, ML</t>
  </si>
  <si>
    <t>Secretion of psychrophilic α-amylase deletion mutants in Pseudoalteromonas haloplanktis TAC125</t>
  </si>
  <si>
    <t>FEMS MICROBIOLOGY LETTERS</t>
  </si>
  <si>
    <t>alpha-amylase; domain C; cold-adapted bacteria; Pseudoalteromonas haloplanktis TAC125</t>
  </si>
  <si>
    <t>ALTEROMONAS-HALOPLANCTIS; POLYGALACTURONASE PEHA; C-TERMINUS; PROTEINS; COLD</t>
  </si>
  <si>
    <t>The nature and location of structural features responsible for the secretion of a cold-adapted alpha-amylase in the Antarctic marine bacterium Pseudoalteromonas haloplanktis TAC125 was studied by deletion mutagenesis of the wild-type enzyme and of chimerical proteins derived from the fusion of the alpha-amylase with a reporter enzyme. Domain C of the psychrophilic alpha-amylase contains secretion features involved in extracellular targeting.</t>
  </si>
  <si>
    <t>Univ Naples Federico II, Complesso Univ Monte SantAngelo, Dipartimento Chim Organ &amp; Biochim, I-80126 Naples, Italy</t>
  </si>
  <si>
    <t>University of Naples Federico II</t>
  </si>
  <si>
    <t>Univ Naples Federico II, Complesso Univ Monte SantAngelo, Dipartimento Chim Organ &amp; Biochim, Via Cynthia, I-80126 Naples, Italy.</t>
  </si>
  <si>
    <t>tutino@unina.it</t>
  </si>
  <si>
    <t>parrilli, ermenegilda/JAZ-0586-2023; parrilli, ermenegilda/K-4616-2016; Cusano, Angela Maria/CAJ-1936-2022; TUTINO, MARIA LUISA/L-1834-2013</t>
  </si>
  <si>
    <t>parrilli, ermenegilda/0000-0002-9002-5409; Cusano, Angela Maria/0000-0002-9903-1717; DUILIO, Angela/0000-0002-6833-1303; SANNIA, Giovanni/0000-0002-7986-6223; Tutino, Maria Luisa/0000-0002-4978-6839</t>
  </si>
  <si>
    <t>0378-1097</t>
  </si>
  <si>
    <t>1574-6968</t>
  </si>
  <si>
    <t>FEMS MICROBIOL LETT</t>
  </si>
  <si>
    <t>FEMS Microbiol. Lett.</t>
  </si>
  <si>
    <t>10.1111/j.1574-6968.2006.00193.x</t>
  </si>
  <si>
    <t>029GU</t>
  </si>
  <si>
    <t>WOS:000236549700011</t>
  </si>
  <si>
    <t>Odierna, G; Aprea, G; Barucca, M; Canapa, A; Capriglione, T; Olmo, E</t>
  </si>
  <si>
    <t>Odierna, G.; Aprea, G.; Barucca, M.; Canapa, A.; Capriglione, T.; Olmo, E.</t>
  </si>
  <si>
    <t>Karyology of the Antarctic scallop Adamussium colbecki, with some comments on the karyological evolution of pectinids</t>
  </si>
  <si>
    <t>GENETICA</t>
  </si>
  <si>
    <t>Adamussium colbecki; chromosomes; intraindividual mosaicism; karyotype; rearrangements</t>
  </si>
  <si>
    <t>PACIFIC OYSTER; MYTILUS-GALLOPROVINCIALIS; BIVALVIA; MOLLUSCA; CHROMOSOMES; KARYOTYPE; DIFFERENTIATION; ANEUPLOIDY; PHYLOGENY; 16S</t>
  </si>
  <si>
    <t>Karyotype, location of the nucleolar organiser region (NOR) and heterochromatin presence and composition were studied in the Antarctic scallop Adamussium colbecki Smith, 1902. The karyotype exhibits 2n = 38 chromosomes with 11 pairs of metacentrics, 5 of submetacentrics, one subtelocentric and two telocentrics. Ag-NOR, CMA(3), DA/MM and NOR-FISH evidenced paracentromeric NORs on the short arm of 2nd pair chromosomes. Digestion with three restriction endonucleases followed by sequential staining with Giemsa, CMA(3) and DAPI evidenced on all chromosomes centromeric heterochromatin positive for both DAPI and CMA(3). In situ hybridisation analysis showed the presence of an AT-rich satellite DNA in the centromeric heterochromatin of several chromosomes. A mosaicism was detected in the germinal cell lines of one specimen, as in six of the 20 plates examined the set had 37 chromosomes with a missing pair of telocentrics and an unpaired metacentric. Comparison of the chromosome sets of all the pectinids studied to date and comparison with a phyletic tree obtained from molecular mitochondrial genes studies yielded good agreement between karyotype morphology and taxonomic classification.</t>
  </si>
  <si>
    <t>Univ Politecn Marche, Ist Biol &amp; Genet, I-60131 Ancona, Italy; Univ Naples Federico II, Dipartimento Biol Strutt &amp; Funzionale, I-80126 Naples, Italy; Univ Naples Federico II, Dipartimento Biol Evolut &amp; Comparata, I-80134 Naples, Italy</t>
  </si>
  <si>
    <t>Marche Polytechnic University; University of Naples Federico II; University of Naples Federico II</t>
  </si>
  <si>
    <t>Canapa, A (corresponding author), Univ Politecn Marche, Ist Biol &amp; Genet, Via Brecce Bianche, I-60131 Ancona, Italy.</t>
  </si>
  <si>
    <t>a.canapa@univpm.it</t>
  </si>
  <si>
    <t>0016-6707</t>
  </si>
  <si>
    <t>1573-6857</t>
  </si>
  <si>
    <t>Genetica</t>
  </si>
  <si>
    <t>10.1007/s10709-005-5366-8</t>
  </si>
  <si>
    <t>Genetics &amp; Heredity</t>
  </si>
  <si>
    <t>065MV</t>
  </si>
  <si>
    <t>WOS:000239164900031</t>
  </si>
  <si>
    <t>Dowdeswell, JA; Evans, J; O'Cofaigh, C; Anderson, JB</t>
  </si>
  <si>
    <t>Morphology and sedimentary processes on the continental slope off Pine Island Bay, Amundsen Sea, West Antarctica</t>
  </si>
  <si>
    <t>Amundsen Sea; continental slope; gullies; turbidites; submarine channels; ice streams; Pine Island Bay; West Antarctic; Ice Sheet</t>
  </si>
  <si>
    <t>LAST GLACIAL MAXIMUM; TROUGH-MOUTH FAN; ICE-SHEET; HIGH-LATITUDE; WEDDELL SEA; RISE WEST; ROSS SEA; RETREAT; PENINSULA; MARGINS</t>
  </si>
  <si>
    <t>Morphology and sedimentation on the Pine Island Bay continental margin, eastern Amundsen Sea, is investigated using swath bathymetry, parametric subbottom profiler (TOPAS) records, and sediment cores. A major cross-shelf trough extends to the continental shelf edge at 114 degrees W, through which fast-flowing ice drained the West Antarctic Ice Sheet under full-glacial conditions. The slope adjacent to the trough mouth is 4 degrees, whereas to the east and west it is steeper. A bulge in bathymetric contours beyond and east of the trough mouth indicates some slope progradation. Elsewhere, seismic-reflection profiles indicate major shelf aggradation and minor slope progradation. Networks of gullies and channels dominate the slope adjacent to Pine Island Bay. In front of the trough mouth, gullies at the shelf edge and uppermost slope connect directly with channels that continue to the continental rise. Other gullies connect indirectly with channels further downslope. TOPAS records indicate that gully-channel systems acted as conduits for coarse-grained sediment transfer. Cores comprise turbidites representing channel deposits and diamicton facies deposited by debris flows. Sandy turbidites interbedded with hemipelagic muds occur on the rise and abyssal plain. The West Antarctic Ice Sheet extended to the shelf edge during full glacials, delivering water-saturated till and turbid water directly to the continental slope along a line source. Gully-channel systems are probably a product of sediment gravity flows derived from the release of water-saturated till and turbid water along the ice-sheet margin, perhaps augmented subsequently by downslope flow of dense cold and saline water associated with sea-ice production during the Holocene. The gully-channel systems enable sediment to bypass the continental slope. Spatial variations in gully-channel system morphology along the Amundsen Sea continental slope are probably linked to differences in sediment gravity flow processes and the rate and composition of sediment delivered to the shelf edge from the ice sheet. Cored sediments on the slope and abyssal plain record the widespread presence of turbidite sands, indicating that downslope transfer of glacier-derived sediments has taken place. This supports our interpretation that submarine channels are derived from, and are conduits for, mass wasting. Submarine channels on the upper slope continue into the abyssal plain as far north as similar to 67 degrees S. They are separated by sediment drifts and sediment waves resulting from the interaction between downslope turbidity current processes and along-slope bottom currents. Similar deep-sea sedimentary processes operate along much of West Antarctica and the western side of the Antarctic Peninsula.</t>
  </si>
  <si>
    <t>Univ Cambridge, Scott Polar Res Inst, Cambridge CB2 1ER, England; Univ Durham, Dept Geog, Durham DH1 3LE, England; Rice Univ, Dept Earth Sci, Houston, TX 77005 USA</t>
  </si>
  <si>
    <t>University of Cambridge; Durham University; Rice University</t>
  </si>
  <si>
    <t>Univ Cambridge, Scott Polar Res Inst, Cambridge CB2 1ER, England.</t>
  </si>
  <si>
    <t>jd16@cam.ac.uk</t>
  </si>
  <si>
    <t>Ó Cofaigh, Colm/D-9131-2012; Anderson, John/B-1011-2012; Evans, Jeffrey/F-5548-2010</t>
  </si>
  <si>
    <t>Dowdeswell, Julian/0000-0003-1369-9482</t>
  </si>
  <si>
    <t>Natural Environment Research Council [NER/T/S/2000/00986] Funding Source: researchfish</t>
  </si>
  <si>
    <t>10.1130/B25791.1</t>
  </si>
  <si>
    <t>039MO</t>
  </si>
  <si>
    <t>WOS:000237310200007</t>
  </si>
  <si>
    <t>Collinson, JW; Hammer, WR; Askin, RA; Elliot, DH</t>
  </si>
  <si>
    <t>Permian-Triassic boundary in the central Transantarctic Mountains, Antarctica</t>
  </si>
  <si>
    <t>Antarctica; boundary; Glossopteris; Lystrosaurus; Permian; Triassic</t>
  </si>
  <si>
    <t>PB ISOTOPIC COMPOSITIONS; PEAT-FORMING PLANTS; MARIE-BYRD-LAND; SOUTH-AFRICA; KAROO BASIN; MASS EXTINCTION; WEST ANTARCTICA; VERTEBRATE EXTINCTION; FLOODPLAIN DEPOSITS; ECOLOGICAL CRISIS</t>
  </si>
  <si>
    <t>The Permian-Triassic boundary occurs within a relatively complete terrestrial sequence in the Shackleton Glacier area of the central Transantarctic Mountains. The boundary is within a 7- to 10-m-thick interval between the Permian Glossopteris flora and the Lower Triassic Lystrosaurus fauna. This interval, representing on the order of 200 k.y., records some of the events that occurred in the transition from the Permian to Triassic. In the best-documented section at Graphite Peak in the Beardmore Glacier region, Protohaploxypinus microcorpits zone palynomorphs, which we assign to the latest Permian, record the declining Glossopteris flora and occur near the top of the Buckley coal measures, just below a previously reported major negative delta(13)C excursion. In the Shackleton Glacier area, the Permian Glossopteris flora, including fossil wood, roots, and leaves, occurs within the lower part of the Fremouw Formation. The Antarctic Lystrosaurus assemblage of Early Triassic age has several species in common with the South African fauna that lived 20 degrees to 35 degrees closer to the equator. The migration of vertebrates from southern Africa into of Antarctica in the Early Triassic supports hypotheses of runaway greenhouse warming possibly related to CO(2) emissions from Siberian flood basalts and large methane gas releases. Changes in flora bracketing the first of the major negative delta(13)C anomalies near the boundary in Antarctica and in East Greenland support the hypothesis that a global event, perhaps through mutations caused by enhanced ultraviolet radiation, may have played a role in the destruction of floras.</t>
  </si>
  <si>
    <t>Ohio State Univ, Dept Geol Sci, Columbus, OH 43210 USA; Ohio State Univ, Byrd Polar Res Ctr, Columbus, OH 43210 USA; Augustana Coll, Dept Geol, Rock Isl, IL 61201 USA</t>
  </si>
  <si>
    <t>Collinson, JW (corresponding author), 5312 Highcastle Dr, Ft Collins, CO 80525 USA.</t>
  </si>
  <si>
    <t>jwcollinson@comcast.net</t>
  </si>
  <si>
    <t>10.1130/B25739.1</t>
  </si>
  <si>
    <t>WOS:000237310200016</t>
  </si>
  <si>
    <t>Ivany, LC; Van Simaeys, S; Domack, EW; Samson, SD</t>
  </si>
  <si>
    <t>Evidence for an earliest Oligocene ice sheet on the Antarctic Peninsula</t>
  </si>
  <si>
    <t>Oligocene; glaciation; Antarctica; till; stratigraphy</t>
  </si>
  <si>
    <t>STRONTIUM ISOTOPE STRATIGRAPHY; LOOK-UP TABLE; MA; GLACIATION; CRYOSPHERE; CURVE; FIT</t>
  </si>
  <si>
    <t>There is growing consensus that development of a semipermanent ice sheet on Antarctica began at or near the Eocene-Oligocene (E-O) boundary. Beyond ice-rafted debris in oceanic settings, however, direct evidence for a substantial ice sheet at this time has been limited and thus far restricted to East Antarctica. It is unclear where glacier ice first accumulated and how extensive it was on the Antarctic continent in the earliest Oligocene. Sediments at the top of the Eocene marine shelf section on Seymour Island, Antarctic Peninsula, include glacial marine deposits and a lodgment till with clasts derived from a variety of rock units on the peninsula. Dinoflagellate biostratigraphy and strontium isotope stratigraphy indicate an age at or very close to the E-O boundary. Glacier ice extending to sea level in the northern peninsula at this time suggests the presence of a regionally extensive West Antarctica ice sheet, and thus an even more dramatic response to the forcing factors that facilitated high-latitude ice expansion in the earliest Oligocene.</t>
  </si>
  <si>
    <t>Syracuse Univ, Dept Earth Sci, Syracuse, NY 13244 USA; Univ Louvain, B-3000 Louvain, Belgium; Hamilton Coll, Dept Geosci, Clinton, NY 13323 USA</t>
  </si>
  <si>
    <t>Syracuse University; Hamilton College</t>
  </si>
  <si>
    <t>Syracuse Univ, Dept Earth Sci, Syracuse, NY 13244 USA.</t>
  </si>
  <si>
    <t>lcivany@syr.edu; svansimaeys@yahoo.com; edomack@hamilton.edu; sdsamson@syr.edu</t>
  </si>
  <si>
    <t>10.1130/G22383.1</t>
  </si>
  <si>
    <t>039NN</t>
  </si>
  <si>
    <t>WOS:000237312900015</t>
  </si>
  <si>
    <t>Frank-Kamenetsky, AV; Troshichev, OA; Morozov, VN; Burns, G; Corney, R</t>
  </si>
  <si>
    <t>Frank-Kamenetsky, A. V.; Troshichev, O. A.; Morozov, V. N.; Burns, G.; Corney, R.</t>
  </si>
  <si>
    <t>Relation between the near-Earth electric field at high latitudes and intense cloud-to-ground lightning strokes initiating VLF emission bursts</t>
  </si>
  <si>
    <t>GEOMAGNETISM AND AERONOMY</t>
  </si>
  <si>
    <t>GEOELECTRIC FIELD; STATION; REGION; MODEL</t>
  </si>
  <si>
    <t>Since 1998, the gradient of the near-Earth atmospheric electric field potential ( vertical bar Ez vertical bar) has been continuously registered at Vostok Antarctic station within the scope of the joint Russian-Australian project. The data of the continuous 10-day period of fine weather in April 1998 have been selected for the following analysis. The field vertical bar Ez vertical bar behavior at Vostok station was compared with a number of lightning strokes obtained from data of the ground-based network of electromagnetic measurements. It has been found out that the average hourly values of vertical bar Ez vertical bar evidently negatively correlate with the number of intense lightning strokes. The causes of these relations are discussed. The obtained results are interpreted based on a theory of global electric circuit.</t>
  </si>
  <si>
    <t>Russian Acad Sci, Arctic &amp; Antarctic Res Inst, St Petersburg 199397, Russia; Voeikov Main Geophys Observ, St Petersburg 194018, Russia; Australian Antarctic Div, Kingston, Tas, Australia</t>
  </si>
  <si>
    <t>Russian Academy of Sciences; Arctic &amp; Antarctic Research Institute; Australian Antarctic Division</t>
  </si>
  <si>
    <t>Frank-Kamenetsky, AV (corresponding author), Russian Acad Sci, Arctic &amp; Antarctic Res Inst, Ul Beringa 38, St Petersburg 199397, Russia.</t>
  </si>
  <si>
    <t>alfrank@aari.nw.ru</t>
  </si>
  <si>
    <t>0016-7932</t>
  </si>
  <si>
    <t>1555-645X</t>
  </si>
  <si>
    <t>GEOMAGN AERONOMY+</t>
  </si>
  <si>
    <t>Geomagn. Aeron.</t>
  </si>
  <si>
    <t>10.1134/S0016793206030133</t>
  </si>
  <si>
    <t>141KT</t>
  </si>
  <si>
    <t>WOS:000244578000013</t>
  </si>
  <si>
    <t>Zillmer, M</t>
  </si>
  <si>
    <t>Zillmer, Matthias</t>
  </si>
  <si>
    <t>A method for determining gas-hydrate or free-gas saturation of porous media from seismic measurements</t>
  </si>
  <si>
    <t>GEOPHYSICS</t>
  </si>
  <si>
    <t>BOTTOM SIMULATING REFLECTOR; EFFECTIVE ELASTIC-MODULI; BEARING SEDIMENTS; MARINE-SEDIMENTS; STOREGGA SLIDE; VELOCITY; QUANTIFICATION; OFFSHORE; NORWAY</t>
  </si>
  <si>
    <t>The occurrence of gas hydrate or free gas in a porous medium changes the medium's elastic properties. Explicit formulas for gas-hydrate or free-gas saturation of pore space on the basis of the Frenkel-Gassmann equations describe the elastic moduli and seismic velocities of a porous medium for low frequencies. A key assumption of the model is that either gas hydrate or free gas is present in the pore space in addition to water. Under this assumption, the method uses measured P- and S-wave velocities and bulk density along with estimates of the moduli and densities of the solid and fluid phases present to determine whether gas or hydrate is present. The method then determines the saturation level of either the gas or the hydrate. I apply the method to published velocity and density data from seismic studies at the antarctic Shetland margin and at the Storegga slide. offshore Norway, and to borehole log and core data from Ocean Drilling Program (ODP) Leg 164 at Blake Ridge. offshore South Carolina. A sensitivity analysis reveals that the standard deviations of the gas-hydrate and free-gas saturations reach 30%-70% of the saturations if the standard deviations of the P- and S-wave velocities and of the bulk density are 50 m/s and 0.05 g/cm(3), respectively. I conclude that a reliable quantification of gas hydrate and free gas can be achieved by seismic methods only if the seismic velocities and bulk density of the medium are determined with high accuracy from the measured data.</t>
  </si>
  <si>
    <t>IFM, GEOMAR, Leibniz Inst Marine Sci, D-24148 Kiel, Germany</t>
  </si>
  <si>
    <t>Helmholtz Association; GEOMAR Helmholtz Center for Ocean Research Kiel</t>
  </si>
  <si>
    <t>Zillmer, M (corresponding author), IFM, GEOMAR, Leibniz Inst Marine Sci, Wischhofstr 1-3, D-24148 Kiel, Germany.</t>
  </si>
  <si>
    <t>mzillmer@ifm-geomar.de</t>
  </si>
  <si>
    <t>SOC EXPLORATION GEOPHYSICISTS</t>
  </si>
  <si>
    <t>TULSA</t>
  </si>
  <si>
    <t>8801 S YALE ST, TULSA, OK 74137 USA</t>
  </si>
  <si>
    <t>0016-8033</t>
  </si>
  <si>
    <t>1942-2156</t>
  </si>
  <si>
    <t>Geophysics</t>
  </si>
  <si>
    <t>N21</t>
  </si>
  <si>
    <t>N32</t>
  </si>
  <si>
    <t>10.1190/1.2192910</t>
  </si>
  <si>
    <t>060RQ</t>
  </si>
  <si>
    <t>WOS:000238819700037</t>
  </si>
  <si>
    <t>Wheatley, KE; Bradshaw, CJA; Davis, LS; Harcourt, RG; Hindell, MA</t>
  </si>
  <si>
    <t>Wheatley, Kathryn E.; Bradshaw, Corey J. A.; Davis, Lloyd S.; Harcourt, Robert G.; Hindell, Mark A.</t>
  </si>
  <si>
    <t>Influence of maternal mass and condition on energy transfer in Weddell seals</t>
  </si>
  <si>
    <t>JOURNAL OF ANIMAL ECOLOGY</t>
  </si>
  <si>
    <t>body composition; lactation; Leptonychotes weddellii; maternal expenditure; phocids</t>
  </si>
  <si>
    <t>SOUTHERN ELEPHANT SEALS; ANTARCTIC FUR SEALS; MIROUNGA-LEONINA; LEPTONYCHOTES-WEDDELLI; REPRODUCTIVE SUCCESS; BODY-COMPOSITION; CLIMATE-CHANGE; MCMURDO SOUND; FOOD-INTAKE; GREY SEALS</t>
  </si>
  <si>
    <t>Environmental variation influences food abundance and availability, which is reflected in the reproductive success of top predators. We examined maternal expenditure, offspring mass and condition for Weddell seals in 2 years when individuals exhibited marked differences in these traits. For females weighing 355 kg there was a positive relationship between maternal post-partum mass (MPPM) and lactation length, but below this there was no relationship, suggesting that heavier females were able to increase lactation length but lighter females were restricted to a minimum lactation period of 33 days. Overall, females were heavier in 2002, but in 2003 shorter females were lighter than similar-sized females in 2002 suggesting that the effects of environmental variability on foraging success and condition are more pronounced in smaller individuals. There was no relationship between MPPM and pup birth mass, indicating pre-partum investment did not differ between years. However, there was a positive relationship between MPPM and pup mass gain. Mass and energy transfer efficiency were 10.2 and 5.4% higher in 2002 than 2003, which suggests costs associated with a putatively poor-resource year were delayed until lactation. Heavier females lost a higher proportion of mass during lactation in both years, so smaller females may not have been able to provide more to their offspring to wean a pup of similar size to larger females. MPPM had only a small influence on total body lipid; therefore, regardless of mass, females had the same relative body composition. Females with male pups lost a higher percentage of lipid than those with female pups, but by the end of lactation female pups had 4.5% higher lipid content than males. It appears that for Weddell seals the consequences of environmentally induced variation in food availability are manifested in differences in maternal mass and expenditure during lactation. These differences translate to changes in pup mass and condition at weaning with potential consequences for future survival and recruitment.</t>
  </si>
  <si>
    <t>Univ Tasmania, Antarctic Wildlife Res Unit, Sch Zool, Hobart, Tas 7001, Australia; Charles Darwin Univ, Sch Environm Res, Darwin, NT 0909, Australia; Univ Otago, Dept Zool, Dunedin, New Zealand; Macquarie Univ, Grad Sch Environm, Marine Mammal Res Grp, Sydney, NSW 2109, Australia</t>
  </si>
  <si>
    <t>University of Tasmania; Charles Darwin University; University of Otago; Macquarie University</t>
  </si>
  <si>
    <t>Wheatley, KE (corresponding author), Univ Tasmania, Antarctic Wildlife Res Unit, Sch Zool, Private Bag 05, Hobart, Tas 7001, Australia.</t>
  </si>
  <si>
    <t>kew@utas.edu.au</t>
  </si>
  <si>
    <t>Hindell, Mark A/K-1131-2013; Davis, Lloyd/HJI-3533-2023; Hindell, Mark A/C-8368-2013; Bradshaw, Corey J. A./A-1311-2008</t>
  </si>
  <si>
    <t>Bradshaw, Corey J. A./0000-0002-5328-7741; Harcourt, Robert/0000-0003-4666-2934; Hindell, Mark/0000-0002-7823-7185</t>
  </si>
  <si>
    <t>0021-8790</t>
  </si>
  <si>
    <t>1365-2656</t>
  </si>
  <si>
    <t>J ANIM ECOL</t>
  </si>
  <si>
    <t>J. Anim. Ecol.</t>
  </si>
  <si>
    <t>10.1111/j.1365-2656.2006.01093.x</t>
  </si>
  <si>
    <t>Ecology; Zoology</t>
  </si>
  <si>
    <t>Environmental Sciences &amp; Ecology; Zoology</t>
  </si>
  <si>
    <t>042GW</t>
  </si>
  <si>
    <t>WOS:000237517000011</t>
  </si>
  <si>
    <t>Papadopoulos, A; Tsimplis, MN</t>
  </si>
  <si>
    <t>Papadopoulos, A.; Tsimplis, M. N.</t>
  </si>
  <si>
    <t>Coherent coastal sea-level variability at interdecadal and interannual scales from tide gauges</t>
  </si>
  <si>
    <t>JOURNAL OF COASTAL RESEARCH</t>
  </si>
  <si>
    <t>teleconnections; indices; regional sea level; North Atlantic oscillation; El Nino-Southern oscillation; Southern Oscillation Index; Arctic Oscillation; Pacific Decadal Oscillation</t>
  </si>
  <si>
    <t>NORTH-ATLANTIC OSCILLATION; ANTARCTIC CIRCUMPOLAR WAVE; ATMOSPHERIC CIRCULATION; ENSO TELECONNECTION; ARCTIC OSCILLATION; MEDITERRANEAN SEA; WEST-COAST; PACIFIC; TRENDS; OCEAN</t>
  </si>
  <si>
    <t>Coastal ea level measured from tide gauges exhibits coherent variability at interannual and decadal scales. We investigate sea-level variability of large geographic areas using annual mean sea-level values obtained from the longest available records of coastal observations. Eight sea-level regional indices are constructed for the Atlantic and the Pacific Ocean basins. High coherency of sea-level variability at the decadal timescales between different oceanic regions is observed. The role of large-scale atmospheric forcing is then examined by comparison with the El Nino Southern Oscillation (ENSO) and the North Atlantic Oscillation (NAO). Strong correlation between the NAO and the second empirical orthogonal function (EOF) of the northwest Atlantic data set was observed. The second EOF is also significantly correlated with the latitudinal position of Gulf Stream and the Arctic Oscillation (AO). Sea-level changes in the northeast Atlantic are driven by the NAO. Correlation with the AO was also observed. In the Pacific Ocean, ENSO dominates sea-level variability along the eastern and southwest sides of the basin. ENSO signatures appear also in the southwest Atlantic, indicating teleconnection patterns. It is proposed that ENSO-related variability in this region is forced through the Pacific-South American teleconnection mechanism. The correlation between southwest Atlantic sea level and ENSO increased after 1980. Sea-level variability on decadal scales in the northwest Pacific region is influenced by the Pacific Decadal Oscillation.</t>
  </si>
  <si>
    <t>Tech Univ Crete, Mineral Resources Engn Dept, Khania 73100, Greece; Southampton Oceanog Ctr, James Rennell Div Ocean Circulat &amp; Climate, Southampton SO14 3ZH, Hants, England</t>
  </si>
  <si>
    <t>Technical University of Crete; NERC National Oceanography Centre; University of Southampton</t>
  </si>
  <si>
    <t>Papadopoulos, A (corresponding author), Tech Univ Crete, Mineral Resources Engn Dept, Khania 73100, Greece.</t>
  </si>
  <si>
    <t>tpapadop@mred.tuc.gr; mnt@soc.soton.ac.uk</t>
  </si>
  <si>
    <t>Tsimplis, Michael/AAH-1295-2021</t>
  </si>
  <si>
    <t>Tsimplis, Michael/0000-0001-7469-5085</t>
  </si>
  <si>
    <t>Natural Environment Research Council [soc010002] Funding Source: researchfish; NERC [soc010002] Funding Source: UKRI</t>
  </si>
  <si>
    <t>COASTAL EDUCATION &amp; RESEARCH FOUNDATION</t>
  </si>
  <si>
    <t>COCONUT CREEK</t>
  </si>
  <si>
    <t>5130 NW 54TH STREET, COCONUT CREEK, FL 33073 USA</t>
  </si>
  <si>
    <t>0749-0208</t>
  </si>
  <si>
    <t>1551-5036</t>
  </si>
  <si>
    <t>J COASTAL RES</t>
  </si>
  <si>
    <t>J. Coast. Res.</t>
  </si>
  <si>
    <t>10.2112/04-0156.1</t>
  </si>
  <si>
    <t>043PV</t>
  </si>
  <si>
    <t>WOS:000237614500013</t>
  </si>
  <si>
    <t>Ronimus, RS; Rueckert, A; Morgan, HW</t>
  </si>
  <si>
    <t>Ronimus, Ron S.; Rueckert, Andreas; Morgan, Hugh W.</t>
  </si>
  <si>
    <t>Survival of thermophilic spore-forming bacteria in a 90+ year old milk powder from Ernest Shackelton's Cape Royds Hut in Antarctica</t>
  </si>
  <si>
    <t>JOURNAL OF DAIRY RESEARCH</t>
  </si>
  <si>
    <t>Bacillus licheniformis; Bacillus subtilis; RAPD-PCR; thermophilic; Anoxybacillus flavithermus; Geobacillus stearothermophilus; milk powder; Antarctica</t>
  </si>
  <si>
    <t>BACILLUS-FLAVOTHERMUS; HEAT-RESISTANCE; STORAGE; IDENTIFICATION; ORGANISMS; STRAINS</t>
  </si>
  <si>
    <t>Milk powder taken to Antarctica on Shackelton's British Antarctic Expedition in 1907 was produced in New Zealand by a roller drying process in the first factory in the world dedicated to this process. Thermophilic bacilli are the dominant contaminants of modern spray-dried milk powders and the 1907 milk powder allows a comparison to be made of contaminating strains in roller-dried and spray-dried powders. Samples of milk powder obtained from Shackelton's Hut at Cape Royds had low levels of thermophilic contamination (&lt; 500 cfu ml(-1)) but the two dominant strains (Bacillus licheniformis strain F and Bacillus subtilis) were typical of those found in spray-dried powders. Soil samples from the floor of the hut also contained these strains, whereas soils distant from the hut did not. Differences in the RAPID profiles of isolates from the milk powder and the soils suggest that contamination of the milk from the soil was unlikely. It is significant that the most commonly encountered contaminant strain in modern spray-dried milk (Anoxybacillus flavithermus strain C) was not detected in the 1907 sample.</t>
  </si>
  <si>
    <t>Univ Waikato, Dept Biol Sci, Thermophile Res Unit, Hamilton, New Zealand</t>
  </si>
  <si>
    <t>University of Waikato</t>
  </si>
  <si>
    <t>Ronimus, RS (corresponding author), Univ Waikato, Dept Biol Sci, Thermophile Res Unit, Private Bag 3105, Hamilton, New Zealand.</t>
  </si>
  <si>
    <t>ron.ronimus@agresearch.co.nz</t>
  </si>
  <si>
    <t>Ronimus, Ron/0000-0001-8669-5840</t>
  </si>
  <si>
    <t>0022-0299</t>
  </si>
  <si>
    <t>1469-7629</t>
  </si>
  <si>
    <t>J DAIRY RES</t>
  </si>
  <si>
    <t>J. Dairy Res.</t>
  </si>
  <si>
    <t>10.1017/S0022029906001749</t>
  </si>
  <si>
    <t>Agriculture, Dairy &amp; Animal Science; Food Science &amp; Technology</t>
  </si>
  <si>
    <t>Agriculture; Food Science &amp; Technology</t>
  </si>
  <si>
    <t>050ZN</t>
  </si>
  <si>
    <t>WOS:000238129900014</t>
  </si>
  <si>
    <t>Soldatov, AA</t>
  </si>
  <si>
    <t>Soldatov, A. A.</t>
  </si>
  <si>
    <t>Organ blood flow and vessels of microcirculatory bed in fish</t>
  </si>
  <si>
    <t>JOURNAL OF EVOLUTIONARY BIOCHEMISTRY AND PHYSIOLOGY</t>
  </si>
  <si>
    <t>SLOW MUSCLE-FIBERS; RAINBOW-TROUT; CARDIOVASCULAR-RESPONSES; SALMO-GAIRDNERI; ANTARCTIC FISH; ATLANTIC COD; CIRCULATORY RESPONSES; CARDIAC-OUTPUT; EEL; VASCULARIZATION</t>
  </si>
  <si>
    <t>Information on density of fish capillary network and its permeability, peculiarities of geometry, morphology, and ultrastructure of vessels of microcirculation bed-arterioles, venules, capillaries-is presented. A great attention is paid to vasomotor reactions and their participation in redistribution of blood. Nervous and humoral mechanisms of control of tone of the vessel smooth muscle wall and voluminous blood flow are considered. Effects of environmental factors on processes of microcirculation in fish are discussed.</t>
  </si>
  <si>
    <t>Natl Acad Sci Ukraine, Inst Biol So Seas, Sevastopol, Ukraine</t>
  </si>
  <si>
    <t>Russian Academy of Sciences; AO Kovalevsky Institute of Biology of the Southern Seas of RAS (IBSS); National Academy of Sciences Ukraine</t>
  </si>
  <si>
    <t>Soldatov, AA (corresponding author), Natl Acad Sci Ukraine, Inst Biol So Seas, Sevastopol, Ukraine.</t>
  </si>
  <si>
    <t>Soldatov, Aleksander/I-4617-2017</t>
  </si>
  <si>
    <t>Soldatov, Aleksander/0000-0002-9862-123X</t>
  </si>
  <si>
    <t>PLEIADES PUBLISHING INC</t>
  </si>
  <si>
    <t>MOSCOW</t>
  </si>
  <si>
    <t>PLEIADES PUBLISHING INC, MOSCOW, 00000, RUSSIA</t>
  </si>
  <si>
    <t>0022-0930</t>
  </si>
  <si>
    <t>1608-3202</t>
  </si>
  <si>
    <t>J EVOL BIOCHEM PHYS+</t>
  </si>
  <si>
    <t>J. Evol. Biochem. Physiol.</t>
  </si>
  <si>
    <t>10.1134/S002209300603001X</t>
  </si>
  <si>
    <t>Biochemistry &amp; Molecular Biology; Evolutionary Biology; Physiology</t>
  </si>
  <si>
    <t>071CA</t>
  </si>
  <si>
    <t>WOS:000239573900001</t>
  </si>
  <si>
    <t>Sévellec, F; Huck, T; Ben Jelloul, M</t>
  </si>
  <si>
    <t>Sevellec, Florian; Huck, Thierry; Ben Jelloul, Mahdi</t>
  </si>
  <si>
    <t>On the mechanism of centennial thermohaline oscillations</t>
  </si>
  <si>
    <t>DRIVEN OCEAN CIRCULATION; FRESH-WATER FLUX; GENERAL-CIRCULATION; INTERDECADAL VARIABILITY; MODELS; INSTABILITY; FLOW; CONVECTION; DYNAMICS; SCALE</t>
  </si>
  <si>
    <t>Centennial oscillations of the ocean thermohaline circulation are studied in a 2-D latitude-depth model under mixed boundary conditions (i.e. restoring surface temperature and prescribed freshwater flux). The oscillations are revealed through linear stability analysis of a steady state obtained in a single hemisphere configuration. A density variance budget is performed and helps determine the physical processes sustaining these oscillations: the restoring surface temperature appears as a source of density variance - this is a consequence of positively-correlated temperature and salinity anomalies. A minimal model, the Howard-Malkus loop oscillator, enables us to understand physically the oscillatory and growth mechanisms. The centennial oscillation is connected to the advection of salinity anomaly around the loop; it is also related to the salinity feedback on the overturning which reinforces anomalies through a change of residence time in the freshwater flux regions. Analytical solutions of this loop model show that these centennial oscillations exist in a specific parameter regime in terms of the freshwater flux amplitude F-0: oscillations are damped if F-0 is too weak, but if F-0 is too large, the instability grows exponentially without oscillating - the latter regime is known as the positive salinity feedback. The robustness of these oscillations is then analyzed in more realistic bihemispheric configurations, some including a highly idealized Antarctic Circumpolar Current: oscillations are then always damped. These results are rationalized with the loop model, and compared to the oscillations found in general circulation models.</t>
  </si>
  <si>
    <t>Univ Bretagne Occidentale, Lab Phys Oceans, CNRS,UFR Sci, UMR 6523,IFREMER UBO, F-29238 Brest 3, France</t>
  </si>
  <si>
    <t>Universite de Bretagne Occidentale; Centre National de la Recherche Scientifique (CNRS); CNRS - National Institute for Earth Sciences &amp; Astronomy (INSU); Ifremer; Institut de Recherche pour le Developpement (IRD)</t>
  </si>
  <si>
    <t>Sévellec, F (corresponding author), Univ Bretagne Occidentale, Lab Phys Oceans, CNRS,UFR Sci, UMR 6523,IFREMER UBO, 6 Ave Le Gorgeu,CS 93837, F-29238 Brest 3, France.</t>
  </si>
  <si>
    <t>florian.sevellec@univ-brest.fr</t>
  </si>
  <si>
    <t>Sevellec, Florian/L-3125-2015; Huck, Thierry/L-5549-2015</t>
  </si>
  <si>
    <t>Sevellec, Florian/0000-0002-8498-0004; Huck, Thierry/0000-0002-2885-5153</t>
  </si>
  <si>
    <t>10.1357/002224006778189608</t>
  </si>
  <si>
    <t>080MH</t>
  </si>
  <si>
    <t>WOS:000240251400002</t>
  </si>
  <si>
    <t>Isla, E; Rossi, S; Palanques, A; Gili, JM; Gerdes, D; Arntz, W</t>
  </si>
  <si>
    <t>Isla, E.; Rossi, S.; Palanques, A.; Gili, J. -M.; Gerdes, D.; Arntz, W.</t>
  </si>
  <si>
    <t>Biochemical composition of marine sediment from the eastern Weddell Sea (Antarctica): High nutritive value in a high benthic-biomass environment</t>
  </si>
  <si>
    <t>JOURNAL OF MARINE SYSTEMS</t>
  </si>
  <si>
    <t>Antarctica; Weddell Sea; marine sediments; biochemical composition; organic matter; benthic communities; suspension feeders</t>
  </si>
  <si>
    <t>PARTICULATE ORGANIC-MATTER; WESTERN BRANSFIELD STRAIT; TERRA-NOVA BAY; DOWNWARD PARTICLE FLUXES; DEEP-SEA; ACCUMULATION RATES; ROSS SEA; SETTLING PARTICLES; PHYTOPLANKTON BIOMASS; LATERAL TRANSPORT</t>
  </si>
  <si>
    <t>Within the SCAR's international EASIZ programme, as part of the benthic-pelagic coupling experiment, grain size and organic matter contents in marine surface sediment were measured. Samples were taken during the austral autumn of 2000 from 3 regions in the eastern Weddell Sea: Kapp Norvegia, Four Seasons Bank, and Austasen. In general, sediments were fine sand with a grain size fraction &lt; 200 mu m representing more than 40% of the total weight. The sediments from Four Seasons Bank (64 to 107 in depth) were coarser than those from Austasen and Kapp Norvegia (209 to 480 in depth), presumably due to winnowing of fine sediment at shallow depths. Organic carbon (OC) content ranged from 0.25% to 1.2% and constituted 10% to 97% of the total carbon. The samples from Kapp Norvegia presented the highest OC values. Overall, protein (PRT), lipid (LPD), and carbohydrate (CHO) contents were similar to those in sediment from cold regions (e.g., the North Atlantic and the Ross Sea) but higher than those in sediment from other Antarctic and more septentrional regions (e.g., the Ross Sea and the Mediterranean). The difference within the Antarctic is explained through the local conditions in Terra Nova Bay and Kapp Norvegia. In the Antarctic, PRT and LPD carbon were the main contributors to the biopolymeric carbon (BPC). In the eastern Weddell Sea shelf, the BPC accounted for more than 90% of the OC in most of the samples. More than 82% of the total PRT, LPD, and CHO were present in the fraction &lt; 200 mu m. This work remarks the existence of sediments with a high nutritional value persistent several weeks after the spring-summer pulse of fresh organic matter. It is also highlighted the high potential availability of these sediments (due to its grain size) for the benthic communities inhabiting this high-latitude continental shelf. (c) 2006 Elsevier B.V All rights reserved.</t>
  </si>
  <si>
    <t>CSIC, Inst Ciencias Mar, E-08003 Barcelona, Spain; Alfred Wegener Inst Polar &amp; Marine Res, D-27568 Bremerhaven, Germany</t>
  </si>
  <si>
    <t>Consejo Superior de Investigaciones Cientificas (CSIC); CSIC - Centro Mediterraneo de Investigaciones Marinas y Ambientales (CMIMA); CSIC - Instituto de Ciencias del Mar (ICM); Helmholtz Association; Alfred Wegener Institute, Helmholtz Centre for Polar &amp; Marine Research</t>
  </si>
  <si>
    <t>Isla, E (corresponding author), CSIC, Inst Ciencias Mar, Passeig Maritim Barceloneta 37-49, E-08003 Barcelona, Spain.</t>
  </si>
  <si>
    <t>isla@icm.csic.es</t>
  </si>
  <si>
    <t>Palanques, Albert/C-2661-2013</t>
  </si>
  <si>
    <t>Isla, Enrique/0000-0003-4959-6936; Palanques, Albert/0000-0003-2544-2342; Rossi, Sergio/0000-0003-4402-3418</t>
  </si>
  <si>
    <t>0924-7963</t>
  </si>
  <si>
    <t>1879-1573</t>
  </si>
  <si>
    <t>J MARINE SYST</t>
  </si>
  <si>
    <t>J. Mar. Syst.</t>
  </si>
  <si>
    <t>10.1016/j.jmarsys.2006.01.006</t>
  </si>
  <si>
    <t>Geosciences, Multidisciplinary; Marine &amp; Freshwater Biology; Oceanography</t>
  </si>
  <si>
    <t>Geology; Marine &amp; Freshwater Biology; Oceanography</t>
  </si>
  <si>
    <t>053UP</t>
  </si>
  <si>
    <t>WOS:000238331500005</t>
  </si>
  <si>
    <t>Mackintosh, AN; Barrows, TT; Colhoun, EA; Fifield, LK</t>
  </si>
  <si>
    <t>Mackintosh, A. N.; Barrows, T. T.; Colhoun, E. A.; Fifield, L. K.</t>
  </si>
  <si>
    <t>Exposure dating and glacial reconstruction at Mt. Field, Tasmania, Australia, identifies MIS 3 and MIS 2 glacial advances and climatic variability</t>
  </si>
  <si>
    <t>JOURNAL OF QUATERNARY SCIENCE</t>
  </si>
  <si>
    <t>Tasmania; Mt. Field; Last Glacial Maximum; exposure dating; Cl-36; climatic change</t>
  </si>
  <si>
    <t>EQUILIBRIUM-LINE ALTITUDES; SEA-SURFACE TEMPERATURES; SOUTHERN ALPS; PLEISTOCENE GLACIATION; MAXIMUM; VEGETATION; AGE; SENSITIVITY; MOUNTAIN; DEPOSITS</t>
  </si>
  <si>
    <t>Tasmania is important for understanding Quaternary climatic change because it is one of only three areas that experienced extensive mid-latitude Southern Hemisphere glaciation and it lies in a dominantly oceanic environment at a great distance from Northern Hemisphere ice sheet feedbacks. We applied exposure dating using Cl-36 to an extensive sequence of moraines from the last glacial at Mt. Field, Tasmania. Glaciers advanced at 41-44 ka during Marine oxygen Isotope Stage (MIS) 3 and at 18 ka during MIS 2. Both advances occurred in response to an ELA lowering greater than 1100 m below the present-day mean summer freezing level, and a possible temperature reduction of 7-8 degrees C. Deglaciation was rapid and complete by ca. 16 ka. The overall story emerging from studies of former Tasmanian glaciers is that the MIS 2 glaciation was of limited extent and that some glaciers were more extensive during earlier parts of the last glacial cycle. Copyright (C) 2006 John Wiley &amp; Sons, Ltd.</t>
  </si>
  <si>
    <t>Victoria Univ Wellington, Sch Earth Sci &amp; Antarctic Res Ctr, Wellington, New Zealand; Australian Natl Univ, Res Sch Phys Sci &amp; Engn, Dept Nucl Phys, Canberra, ACT, Australia; Univ Newcastle, Sch Environm &amp; Life Sci, Callaghan, NSW, Australia</t>
  </si>
  <si>
    <t>Victoria University Wellington; Australian National University; University of Newcastle</t>
  </si>
  <si>
    <t>Mackintosh, AN (corresponding author), Victoria Univ Wellington, Sch Earth Sci &amp; Antarctic Res Ctr, POB 600, Wellington, New Zealand.</t>
  </si>
  <si>
    <t>Andrew.Mackintosh@vuw.ac.nz</t>
  </si>
  <si>
    <t>Barrows, Timothy/A-1428-2008; Barrows, Timothy T/E-8471-2011</t>
  </si>
  <si>
    <t>Fifield, Leslie/0000-0003-2866-4944; Barrows, Timothy T/0000-0003-2614-7177; Mackintosh, Andrew/0000-0002-6430-4711</t>
  </si>
  <si>
    <t>0267-8179</t>
  </si>
  <si>
    <t>1099-1417</t>
  </si>
  <si>
    <t>J QUATERNARY SCI</t>
  </si>
  <si>
    <t>J. Quat. Sci.</t>
  </si>
  <si>
    <t>10.1002/jqs.989</t>
  </si>
  <si>
    <t>047JG</t>
  </si>
  <si>
    <t>WOS:000237875000005</t>
  </si>
  <si>
    <t>Czaja, A; Marshall, J</t>
  </si>
  <si>
    <t>Partitioning of poleward heat transport between the atmosphere and ocean</t>
  </si>
  <si>
    <t>ANTARCTIC CIRCUMPOLAR CURRENT; ENERGY-TRANSPORT; CIRCULATION; MODEL; TROPOSPHERE; SECTIONS</t>
  </si>
  <si>
    <t>Observations of the poleward heat transport of the earth (H) suggest that the atmosphere is the primary transporting agent poleward of 30 degrees, that oceanic (Ho) and atmospheric (HA) contributions are comparable in the tropical belt, and that ocean transport dominates in the deep Tropics. To study the partition we express the ratio H-A/H-O as [GRAPHICS] where T (with subscripts A and 0 denoting atmosphere and ocean, respectively) is the meridional mass transport within 0 layers (moist potential temperature for the atmosphere, potential temperature for the ocean), and C Delta theta (C being the specific heat) is the change in energy across the circulation defined by Psi. It is argued here that the observed partitioning of heat transport between the atmosphere and ocean is a robust feature of the earth's climate and reflects two limits: (i) dominance of atmospheric mass transport in mid-to-high latitudes (psi(A) &gt;&gt; psi(O) with C-A Delta theta(A) similar to C-O Delta theta(O) and hence H-A/H-O &gt;&gt; 1) and (ii) dominance of oceanic energy contrast in the Tropics (CO Delta theta(O) &gt; C-A Delta theta(O) &gt;&gt; with psi A similar to psi(O) and hence H-A/H-O &lt;&lt; 1). Motivated by simple dynamical arguments, these ideas are illustrated through diagnosis of atmospheric reanalyses, long simulations of an ocean model, and a coupled atmosphere-ocean model of intermediate complexity.</t>
  </si>
  <si>
    <t>Univ London Imperial Coll Sci Technol &amp; Med, Dept Phys, London SW7 2AZ, England; MIT, Dept Earth Atmospher &amp; Planetary Sci, Cambridge, MA 02139 USA</t>
  </si>
  <si>
    <t>Imperial College London; Massachusetts Institute of Technology (MIT)</t>
  </si>
  <si>
    <t>Czaja, A (corresponding author), Univ London Imperial Coll Sci Technol &amp; Med, Dept Phys, Prince Consort Rd, London SW7 2AZ, England.</t>
  </si>
  <si>
    <t>a.czaja@imperial.ac.uk</t>
  </si>
  <si>
    <t>Czaja, Arnaud/0000-0003-3645-0284</t>
  </si>
  <si>
    <t>10.1175/JAS3695.1</t>
  </si>
  <si>
    <t>042VT</t>
  </si>
  <si>
    <t>WOS:000237559400009</t>
  </si>
  <si>
    <t>Endo, K; Yoshida, S; Nakashima, T; Yukumoto, M; Takeda, K</t>
  </si>
  <si>
    <t>Endo, Kotaro; Yoshida, Shingo; Nakashima, Takahiro; Yukumoto, Masao; Takeda, Kunihiko</t>
  </si>
  <si>
    <t>Failure in communicating an environmental issue regarding melting ice in the polar regions and change of sea level</t>
  </si>
  <si>
    <t>JOURNAL OF THE JAPAN INSTITUTE OF METALS</t>
  </si>
  <si>
    <t>Japanese</t>
  </si>
  <si>
    <t>environmental issue; climate change; global warming; polar region; Antarctic ice; Arctic ice; sea level; society</t>
  </si>
  <si>
    <t>The respective awareness of the Intergovernmental Panel on Climate Change (IPCC), the Japanese government, media and citizens about the change of sea level at some future date due to climate change was surveyed and analyzed. Three official reports from the IPCC, the white paper on the Quality of the Environment in Japan from the government, the articles in the Asahi Shimbun newspaper from about the past 20 years, and the questionnaires by the Japanese and local governments conducted towards citizens were used. The results of this investigation were that the IPCC concluded in their past three reports that the sea level was estimated to be lower because of ice in the polar regions due to climate change, the Japanese government did not describe this point clearly, the newspaper drew the opposite conclusion from the IPCC and the understanding of citizens was that the change in climate caused the sea level to rise. These differences were due to the lack of or misunderstanding of scientific knowledge such as Archimedes's Principle and the migration of fluid materials, and to the psychological trend of human beings. It is necessary for the government and media to clearly explain and announce these scientific facts in a modern society which maintains a close relationship to science.</t>
  </si>
  <si>
    <t>Nagoya Univ, Grad Sch Engn, Dept Mat Phys &amp; Energy Engn, Nagoya, Aichi 4648603, Japan; Nagoya Univ, Sch Engn, Dept Phys Sci &amp; Engn, Nagoya, Aichi 4648603, Japan; JFE Holdings Inc, DME Project, Tokyo 1000005, Japan; Nagoya Univ, Inst Adv Res, Nagoya, Aichi 4648601, Japan</t>
  </si>
  <si>
    <t>Nagoya University; Nagoya University; JFE Holdings, Inc.; Nagoya University</t>
  </si>
  <si>
    <t>Endo, K (corresponding author), Nagoya Univ, Grad Sch Engn, Dept Mat Phys &amp; Energy Engn, Nagoya, Aichi 4648603, Japan.</t>
  </si>
  <si>
    <t>JAPAN INST METALS</t>
  </si>
  <si>
    <t>SENDAI</t>
  </si>
  <si>
    <t>1-14-32, ICHIBANCHO, AOBA-KU, SENDAI, 980-8544, JAPAN</t>
  </si>
  <si>
    <t>0021-4876</t>
  </si>
  <si>
    <t>1880-6880</t>
  </si>
  <si>
    <t>J JPN I MET</t>
  </si>
  <si>
    <t>J. Jpn. Inst. Met.</t>
  </si>
  <si>
    <t>10.2320/jinstmet.70.420</t>
  </si>
  <si>
    <t>Metallurgy &amp; Metallurgical Engineering</t>
  </si>
  <si>
    <t>062SQ</t>
  </si>
  <si>
    <t>WOS:000238965200005</t>
  </si>
  <si>
    <t>van de Poll, WH; Alderkamp, AC; Janknegt, PJ; Roggeveld, J; Buma, AGJ</t>
  </si>
  <si>
    <t>van de Poll, Willem H.; Alderkamp, Anne-Carlijn; Janknegt, Paul J.; Roggeveld, Jan; Buma, Anita G. J.</t>
  </si>
  <si>
    <t>Photoacclimation modulates excessive photosynthetically active and ultraviolet radiation effects in a temperate and an Antarctic marine diatom</t>
  </si>
  <si>
    <t>UV-B RADIATION; DIADINOXANTHIN CYCLE; OXIDATIVE STRESS; OZONE DEPLETION; PHYTOPLANKTON; IRRADIANCE; ACCLIMATION; INHIBITION; PHOTOPROTECTION; SENSITIVITY</t>
  </si>
  <si>
    <t>The influence of photoacclimation on the effects of excessive photosynthetically active (PAR; 400-700 nm) and ultraviolet (UVR; 280-400 nm) radiation was assessed for the marine diatoms Thalassiosira weissflogii (Grunow) Fryxell and Hasle and Thalassiosira antarctica (Comber). Low and high PAR acclimated cultures were subjected to simulated surface irradiance (SSI) that mimicked irradiance around noon, including UVR. PSII efficiency, xanthophyll conversion, superoxide dismutase (SOD) activity, carbohydrate buildup, and lipid peroxidation were investigated after 30 min SSI and during 120 min recovery in low irradiance. Furthermore, viability loss was measured during 4 h SSI. Prior to SSI, the diadino-diatoxanthin pool was increased in high irradiance acclimated cells, compared with cells grown under low irradiance. Thirty-minutes SSI caused a pronounced decline in PSII efficiency. This coincided with de-epoxidation of diadinoxanthin in high irradiance acclimated cells, which was completely reversed during recovery in low irradiance. De-epoxidation was lower for low irradiance acclimated cells. whereas PSII efficiency and carbohydrate buildup were lower during the recovery phase. Furthermore, clear UVR effects on PSII efficiency were observed in low irradiance but not in high irradiance acclimated cells. Although 30 min SSI did not increase cellular SOD activity and lipid peroxidation, prolonged (4 h) SSI caused viability loss in low irradiance acclimated cells, which was enhanced by UVR. Therefore, PAR and UVR-induced PSII inactivation and viability loss were reduced by high irradiance-mediated changes in light harvesting and the xanthophyll pigments. In addition to photoacclimation-modulated differences, minor sensitivity differences were found between species.</t>
  </si>
  <si>
    <t>Univ Groningen, Dept Marine Biol, Ctr Ecol &amp; Evolutionary Studies, NL-9750 AA Haren, Netherlands</t>
  </si>
  <si>
    <t>University of Groningen</t>
  </si>
  <si>
    <t>van de Poll, WH (corresponding author), Univ Groningen, Dept Marine Biol, Ctr Ecol &amp; Evolutionary Studies, POB 14, NL-9750 AA Haren, Netherlands.</t>
  </si>
  <si>
    <t>W.H.van.de.Poll@RUG.nl</t>
  </si>
  <si>
    <t>Buma, Anita GJ/E-8372-2015</t>
  </si>
  <si>
    <t>van de Poll, Willem/0000-0003-4095-4338</t>
  </si>
  <si>
    <t>10.4319/lo.2006.51.3.1239</t>
  </si>
  <si>
    <t>045NH</t>
  </si>
  <si>
    <t>WOS:000237748300003</t>
  </si>
  <si>
    <t>Cullen, JT</t>
  </si>
  <si>
    <t>On the nonlinear relationship between dissolved cadmium and phosphate in the modern global ocean: Could chronic iron limitation of phytoplankton growth cause the kink?</t>
  </si>
  <si>
    <t>EQUATORIAL PACIFIC-OCEAN; NATURAL ORGANIC-LIGANDS; CENTRAL NORTH PACIFIC; SOUTHERN-OCEAN; MARINE-PHYTOPLANKTON; ATLANTIC-OCEAN; ANTARCTIC WATERS; PHOSPHORUS RATIO; TRACE-METALS; NEW-ZEALAND</t>
  </si>
  <si>
    <t>I report two vertical profiles of dissolved cadmium (Cd) and phosphate (PO4) from the Bering Sea: one from a high-nutrient, low-chlorophyll (HNLC) area, in which phytoplankton growth is limited by iron (Fe) availability, and one in highly productive waters near the continental shelf, where Fe is sufficient. At both stations, dissolved Cd and PO4 display nutrient-like profiles and are strongly correlated with depth. The surface-water dissolved Cd : PO4 ratio in the Fe-limited HNLC (0.21 +/- 0.03 nmol mu mol(-1)) is significantly lower than the ratio in the productive Fe-replete station (0.31 +/- 0.02 nmol mu mol(-1)). A simple model based on the results of previously published laboratory culture studies by others and field incubation experiments with natural phytoplankton assemblages is proposed relating the availability of Fe to the Cd : phosphorus content of phytoplankton, the dissolved Cd : PO4 of ocean surface waters, and the slope of Cd : PO4 in the nutricline. The model is consistent with available data and suggests that the nonlinearity or kink in the global dissolved Cd versus PO4 relationship exists because of chronic Fe-limiting conditions in high-latitude HNLC areas in the modern ocean.</t>
  </si>
  <si>
    <t>Univ Victoria, Sch Earth &amp; Ocean Sci, Victoria, BC V8W 3P6, Canada</t>
  </si>
  <si>
    <t>University of Victoria</t>
  </si>
  <si>
    <t>Cullen, JT (corresponding author), Univ Victoria, Sch Earth &amp; Ocean Sci, POB 3055 STN CSC, Victoria, BC V8W 3P6, Canada.</t>
  </si>
  <si>
    <t>jcullen@uvic.ca</t>
  </si>
  <si>
    <t>Cullen, Jay/AAB-2769-2019; Cullen, Jay T./AAE-8379-2019</t>
  </si>
  <si>
    <t>Cullen, Jay T./0000-0002-6484-2421</t>
  </si>
  <si>
    <t>AMER SOC LIMNOLOGY OCEANOGRAPHY</t>
  </si>
  <si>
    <t>WACO</t>
  </si>
  <si>
    <t>5400 BOSQUE BLVD, STE 680, WACO, TX 76710-4446 USA</t>
  </si>
  <si>
    <t>10.4319/lo.2006.51.3.1369</t>
  </si>
  <si>
    <t>WOS:000237748300014</t>
  </si>
  <si>
    <t>Putz, K; Rey, AR; Huin, N; Schiavini, A; Putz, A; Luthi, BH</t>
  </si>
  <si>
    <t>Diving characteristics of southern rockhopper penguins (Eudyptes c. chrysocome) in the Southwest Atlantic</t>
  </si>
  <si>
    <t>ANTARCTIC POLAR FRONT; SPHENISCUS-MAGELLANICUS; INTERANNUAL VARIATION; FALKLAND ISLANDS; DIET COMPOSITION; FORAGING RANGE; BEHAVIOR; TRENDS; CHLOROPHYLL; ATTACHMENT</t>
  </si>
  <si>
    <t>The diving behaviour of southern rockhopper penguins (Eudyptes c. chrysocome) was studied at two breeding sites in the Southwest Atlantic: the Falkland Islands and Staten Island, Argentina. Incubating and brooding birds were equipped with time-depth recorders to monitor their foraging activities. Rockhopper penguins from Staten Island started their breeding season about 3 weeks earlier than their conspecifics from the Falkland Islands. The foraging area used by incubating males from the Falkland Islands comprised about 150,000 km(2) to the northeast of the breeding site and was characterised by shelf and slope waters, whereas the foraging area of incubating males from Staten Island comprised 350,000 km(2) of oceanic waters to the southeast of the breeding site. A number of dive parameters were measured and compared between the four study groups: Incubating males and brooding females from the Falkland Islands, and incubating males and females from Staten Island. In all study groups, dive depth correlated positively to light intensity, dive duration and vertical velocity. However, significant differences between various diving parameters of the study groups were noted, not only in terms of diving performance, but also as regards diving efficiency (DE). A principal component analysis (PCA) on 16 variables revealed that 75% of the variance could be explained by only two principal components: diving pattern (PC1) and diving effort (PC2). PC1 indicated that the birds from Staten Island, both males and females, dived deeper, covered a greater vertical distance per hour and had higher ascent rates, but spent less time underwater and at the bottom of a dive, and had a lower DE than conspecifics from the Falkland Islands. PC2, which included the percentage of foraging dives, the number of dives per hour, dive duration, bottom time and descent rate, differed significantly between incubating males from the Falkland Islands and the other three groups, which were all very similar. Overall, the diving behaviour was notably similar to that of conspecifics from the Indian and Pacific Oceans. The implications of the results in terms of intra-specific adaptations as well as potential threats from human activities are discussed.</t>
  </si>
  <si>
    <t>Antarctic Res Trust, Stanley F1QQ 1ZZ, Falkland Isl, England; CADIC, Consejo Nacl Invest Cient &amp; Tecn, RA-9410 Ushuaia, Tierra Fuego, Argentina; Falkland Conservat, Stanley F1QQ 1ZZ, Falkland Isl, England; Wildlife Conservat Soc, Bronx, NY 10460 USA; Antarctic Res Trust, CH-8044 Zurich, Switzerland</t>
  </si>
  <si>
    <t>Consejo Nacional de Investigaciones Cientificas y Tecnicas (CONICET); Wildlife Conservation Society</t>
  </si>
  <si>
    <t>Putz, K (corresponding author), Antarctic Res Trust, POB 685, Stanley F1QQ 1ZZ, Falkland Isl, England.</t>
  </si>
  <si>
    <t>Puetz@antarctic-research.de</t>
  </si>
  <si>
    <t>Raya Rey, Andrea/0000-0003-0127-6650; Schiavini, Adrian Carlos Miguel/0000-0001-6621-4827; Puetz, Klemens/0000-0003-1375-2669</t>
  </si>
  <si>
    <t>10.1007/s00227-005-0179-y</t>
  </si>
  <si>
    <t>038AQ</t>
  </si>
  <si>
    <t>WOS:000237190200001</t>
  </si>
  <si>
    <t>Smith, JJ; Tow, LA; Stafford, W; Cary, C; Cowan, DA</t>
  </si>
  <si>
    <t>Smith, Jacques J.; Tow, Lemese Ah; Stafford, William; Cary, Craig; Cowan, Donald A.</t>
  </si>
  <si>
    <t>Bacterial diversity in three different Antarctic cold desert mineral soils</t>
  </si>
  <si>
    <t>MICROBIAL ECOLOGY</t>
  </si>
  <si>
    <t>16S RIBOSOMAL-RNA; SOUTHWESTERN UNITED-STATES; POLYMERASE CHAIN-REACTION; MCMURDO DRY VALLEYS; MICROBIAL DIVERSITY; DNA EXTRACTION; WIDESPREAD; MEMBERS; GENES; ICE</t>
  </si>
  <si>
    <t>A bacterial phylogenetic survey of three environmentally distinct Antarctic Dry Valley soil biotopes showed a high proportion of so-called uncultured phylotypes, with a relatively low diversity of identifiable phylotypes. Cyanobacterial phylotypic signals were restricted to the high-altitude sample, whereas many of the identifiable phylotypes, such as the members of the Actinobacteria, were found at all sample sites. Although the presence of Cyanobacteria and Actinobacteria is consistent with previous culture-dependent studies of microbial diversity in Antarctic Dry Valley mineral soils, many phylotypes identified by 16S rDNA analysis were of groups that have not hitherto been cultured from Antarctic soils. The general belief that such extreme environments harbor a relatively low species diversity was supported by the calculation of diversity indices. The detection of a substantial number of uncultured bacterial phylotypes showing low BLAST identities ( &lt; 95%) suggests that Antarctic Dry Valley mineral soils harbor a pool of novel psychrotrophic taxa.</t>
  </si>
  <si>
    <t>Univ Western Cape, Dept Biotechnol, Cape Town, South Africa; Univ Waikato, Dept Biol Sci, Hamilton, New Zealand; Univ Delaware, Coll Marine Studies, Lewes, DE USA</t>
  </si>
  <si>
    <t>University of the Western Cape; University of Waikato; University of Delaware</t>
  </si>
  <si>
    <t>Cowan, DA (corresponding author), Univ Western Cape, Dept Biotechnol, Bellville 7535, Cape Town, South Africa.</t>
  </si>
  <si>
    <t>dcowan@uwc.ac.za</t>
  </si>
  <si>
    <t>Cowan, Donald A/E-3991-2012</t>
  </si>
  <si>
    <t>Cowan, Donald A/0000-0001-8059-861X; Cary, Stephen/0000-0002-2876-2387</t>
  </si>
  <si>
    <t>0095-3628</t>
  </si>
  <si>
    <t>1432-184X</t>
  </si>
  <si>
    <t>MICROB ECOL</t>
  </si>
  <si>
    <t>Microb. Ecol.</t>
  </si>
  <si>
    <t>10.1007/s00248-006-9022-3</t>
  </si>
  <si>
    <t>056KE</t>
  </si>
  <si>
    <t>WOS:000238520800001</t>
  </si>
  <si>
    <t>Stevens, MI; Greenslade, P; Hogg, ID; Sunnucks, P</t>
  </si>
  <si>
    <t>Southern hemisphere springtails: Could any have survived glaciation of Antarctica?</t>
  </si>
  <si>
    <t>MOLECULAR BIOLOGY AND EVOLUTION</t>
  </si>
  <si>
    <t>3rd Society-for-Molecular-Biology-and-Evolution Young Investigators Workshop (SMBEYI-3)</t>
  </si>
  <si>
    <t>JUN 24-27, 2005-2006</t>
  </si>
  <si>
    <t>Palmerston, NEW ZEALAND</t>
  </si>
  <si>
    <t>Collembola; dispersal; glacial refugia; Gondwana; Isotomidae; mitochondrial DNA (COI); vicariance</t>
  </si>
  <si>
    <t>VICTORIA LAND; COLLEMBOLA; BIOGEOGRAPHY; INSECTS; CRYPTOPYGUS; ISOTOMIDAE; DISPERSAL; EVOLUTION; SEQUENCES; RANGE</t>
  </si>
  <si>
    <t>Throughout the Southern Hemisphere many terrestrial taxa have circum-Antarctic distributions. This pattern is generally attributed to ongoing dispersal (by wind, water, or migrating birds) or relict Gondwanan distributions. Few of these terrestrial taxa have extant representatives in Antarctica, but such taxa would contribute to our understanding of the evolutionary origins of the continental Antarctic fauna. Either these taxa have survived the harsh climate cooling in Antarctica over the last 23 Myr (Gondwanan/vicariance origin) or they have dispersed there more recently (&lt; 2 MYA). In this context, we examined mtDNA (COI) sequence variation in Cryptopygus and related extant Antarctic and subantarctic terrestrial springtails (Collembola). Sequence divergence was estimated under a maximum likelihood model (general time reversible + I + Gamma) between individuals from subantarctic islands, Australia, New Zealand, Patagonia, Antarctic Peninsula, and continental Antarctica. Recent dispersal/colonization (&lt; 2 MYA) of Cryptopygus species was inferred between some subantarctic islands, and there was a close association between estimated times of divergences based on a molecular clock and proposed geological ages of islands. Most lineages generally grouped according to geographic proximity or by inferred dispersal/colonization pathways. In contrast, the deep divergences found for the four endemic Antarctic species indicate that they represent a continuous chain of descent dating from the break up of Gondwana to the present. We suggest that the diversification of these springtail species (21-11 MYA) in ice-free glacial refugia throughout the Trans-Antarctic Mountains was caused by the glaciation of the Antarctic continent during the middle to late Miocene.</t>
  </si>
  <si>
    <t>Massey Univ, Allan Wilson Ctr Mol Ecol &amp; Evaolut, Palmerston North, New Zealand; Australian Natl Univ, Dept Bot &amp; Zool, Canberra, ACT, Australia; Univ Waikato, Ctr Biodivers &amp; Ecol Res, Hamilton, New Zealand; Monash Univ, Sch Biol Sci, Clayton, Vic 3168, Australia; Monash Univ, Australian Ctr Biodivers Anal Policy &amp; Management, Clayton, Vic 3168, Australia</t>
  </si>
  <si>
    <t>Massey University; Australian National University; University of Waikato; Monash University; Monash University</t>
  </si>
  <si>
    <t>Massey Univ, Allan Wilson Ctr Mol Ecol &amp; Evaolut, Palmerston North, New Zealand.</t>
  </si>
  <si>
    <t>m.i.stevens@massey.ac.nz</t>
  </si>
  <si>
    <t>Hogg, Ian D./HNS-7393-2023</t>
  </si>
  <si>
    <t>Hogg, Ian D./0000-0002-6685-0089; Sunnucks, Paul/0000-0002-8139-7059</t>
  </si>
  <si>
    <t>0737-4038</t>
  </si>
  <si>
    <t>1537-1719</t>
  </si>
  <si>
    <t>MOL BIOL EVOL</t>
  </si>
  <si>
    <t>Mol. Biol. Evol.</t>
  </si>
  <si>
    <t>10.1093/molbev/msj073</t>
  </si>
  <si>
    <t>Biochemistry &amp; Molecular Biology; Evolutionary Biology; Genetics &amp; Heredity</t>
  </si>
  <si>
    <t>039QH</t>
  </si>
  <si>
    <t>WOS:000237320800005</t>
  </si>
  <si>
    <t>Cavicchioli, R</t>
  </si>
  <si>
    <t>Cold-adapted archaea</t>
  </si>
  <si>
    <t>NATURE REVIEWS MICROBIOLOGY</t>
  </si>
  <si>
    <t>ELONGATION-FACTOR-2 EF-2 PROTEINS; MARINE PLANKTONIC ARCHAEA; METHANOCOCCOIDES-BURTONII; ANTARCTIC ARCHAEON; MICROBIAL COMMUNITY; SP-NOV.; THERMOPHILIC METHANOGENS; CENARCHAEUM-SYMBIOSUM; MEROMICTIC LAKES; ARCTIC SEDIMENTS</t>
  </si>
  <si>
    <t>Many archaea are extremophiles. They thrive at high temperatures, at high pressure and in concentrated acidic environments. Nevertheless, the largest proportion and greatest diversity of archaea exist in cold environments. Most of the Earth's biosphere is cold, and archaea represent a significant fraction of the biomass. Although psychrophilic archaea have long been the neglected majority, the study of these microorganisms is beginning to come of age. This review casts a spotlight on the ecology, adaptation biology and unique science that is being realized from studies on cold-adapted archaea.</t>
  </si>
  <si>
    <t>Univ New S Wales, Sch Biotechnol &amp; Biomol Sci, Sydney, NSW 2052, Australia</t>
  </si>
  <si>
    <t>University of New South Wales Sydney</t>
  </si>
  <si>
    <t>Univ New S Wales, Sch Biotechnol &amp; Biomol Sci, Sydney, NSW 2052, Australia.</t>
  </si>
  <si>
    <t>r.cavicchioli@unsw.edu.au</t>
  </si>
  <si>
    <t>Cavicchioli, Ricardo/D-4341-2013</t>
  </si>
  <si>
    <t>Cavicchioli, Ricardo/0000-0001-8989-6402</t>
  </si>
  <si>
    <t>1740-1526</t>
  </si>
  <si>
    <t>1740-1534</t>
  </si>
  <si>
    <t>NAT REV MICROBIOL</t>
  </si>
  <si>
    <t>Nat. Rev. Microbiol.</t>
  </si>
  <si>
    <t>10.1038/nrmicro1390</t>
  </si>
  <si>
    <t>032HD</t>
  </si>
  <si>
    <t>WOS:000236764400010</t>
  </si>
  <si>
    <t>Organic compounds in the aerosols and surface waters of the East Atlantic</t>
  </si>
  <si>
    <t>SEDIMENTS; FLUXES; OCEAN</t>
  </si>
  <si>
    <t>The data on the content and composition of lipids and aliphatic hydrocarbons ( HC) in aerosols and surface waters obtained during the spring - summer periods of 2001 and 2003 along the vessel route from the North Sea to the Antarctic and backwards are presented. It was shown that the distribution of organic compounds is caused by the influence of the zonal supply of eolian matter from land, anthropogenic, and marine autochtonous sources. The concentrations of organic compounds in the aerosols varied from 0.22 to 13.04 ng/ m(3) for the lipids and from 0.04 to 7.03 ng/ m(3) for the aliphatic HC; in the surface waters, it from 9 to 84 and from 1 to 53 mu g/l, respectively. There is a correlation between the fluxes of the lithogenic fraction of the aerosols, HC, and lipids. The growth of the aquatic area productivity increases the levels of the HC in the surface waters but to a lower degree than the HC supply with oil contamination.</t>
  </si>
  <si>
    <t>Nemirovskaya, IA (corresponding author), Russian Acad Sci, PP Shirshov Oceanol Inst, Moscow, Russia.</t>
  </si>
  <si>
    <t>1531-8508</t>
  </si>
  <si>
    <t>10.1134/S0001437006030064</t>
  </si>
  <si>
    <t>156MG</t>
  </si>
  <si>
    <t>WOS:000245652100006</t>
  </si>
  <si>
    <t>Zezina, ON</t>
  </si>
  <si>
    <t>Zezina, O. N.</t>
  </si>
  <si>
    <t>On the age of recent marine fauna in extreme and isolated biotopes (mainly on brachiopod data)</t>
  </si>
  <si>
    <t>SPECIES BRACHIOPODA; SEA; EVOLUTION; OCEAN</t>
  </si>
  <si>
    <t>The obligate ( missing from different settings) species and genera of recent marine fauna dwelling in extreme ( high- latitudinal, deep- sea, hydrothermal) and isolated ( around islands, on mid- oceanic rises, in underwater caves) biotopes were never found in pre- Cenozoic sediments even tough they belong to ancient families. The prevalence of Pliocene - Pleistocene species and Miocene genera among these taxa suggests that they originated worldwide in the Cenozoic after stabilization of the Circum- Antarctic Current, when the Cenozoic thermohaline circulation pattern and the contrasting climatic regime were established on the planet.</t>
  </si>
  <si>
    <t>Zezina, ON (corresponding author), Russian Acad Sci, PP Shirshov Oceanol Inst, Moscow, Russia.</t>
  </si>
  <si>
    <t>10.1134/S0001437006030118</t>
  </si>
  <si>
    <t>WOS:000245652100011</t>
  </si>
  <si>
    <t>Nelson, WA; Farr, TJ; Broom, JES</t>
  </si>
  <si>
    <t>Nelson, Wendy A.; Farr, Tracy J.; Broom, Judy E. S.</t>
  </si>
  <si>
    <t>Phylogenetic relationships and generic concepts in the red order Bangiales: challenges ahead</t>
  </si>
  <si>
    <t>PHYCOLOGIA</t>
  </si>
  <si>
    <t>Bangiales; Bangia; hylogeny; porphlyra; New Zealand; southern hemisphere; sub-Antarctic islands; 18S rRNA</t>
  </si>
  <si>
    <t>RIBOSOMAL-RNA GENE; PORPHYRA BANGIALES; BANGIOPHYCIDAE RHODOPHYTA; MOLECULAR PHYLOGENY; NUCLEAR SSU; ATLANTIC; SYSTEMATICS; ORIGIN; BIOGEOGRAPHY; DIVERSITY</t>
  </si>
  <si>
    <t>Over the past decade molecular sequence data and phylogenetic analyses have provided strong evidence that the order Bangiales is monophyletic, but that Porphyra and Bangia as currently understood are not. Previous research oil the Bangiales has focused primarily on taxa from the North Pacific and North Atlantic. Recent exploration of Bangiales diversity ill other regions, particularly the southern hemisphere, has revealed deep divergences in the order in phylogenetic analyses employing the slowly evolving 18S rRNA gene. The presence of high diversity in New Zealand raises the prospect that the Southern hemisphere., and particularly eastern Gondwana, is not only a centre of diversity but a centre of origin for the Bangiales. Although the need for new generic concepts within this order is clear, it is our conclusion that approaches to revising the Bangiales based solely oil regional approaches will not succeed: the completion of a modern and robust taxonomic revision of this order require, a global collaborative effort. Enhanced taxon sampling and verifiable application of names, based oil vouchered specimens, will be essential for this to be achieved. The determination of phylogenetic relationships in the Bangiales has implications for the quantification of biodiversity. The number of taxa in the evolutionarily diverse Bangiales has been significantly underestimated, and the diversity in this group has been obscured by the recognition of only two genera. Based on the analyses completed to date, in a revised Bangiales there will be at least 10 genera, 5 of which are currently recognised (Bangia, Dione, Minerva, Pseudobangia and Porphyra), as well is further genera yet to be circumscribed. The majority of species currently placed in Porphyra. including species of commercial value. will not remain in Porphyra sensu stricto.</t>
  </si>
  <si>
    <t>Natl Inst Water &amp; Atmospher Res Ltd, NIWA, Wellington, New Zealand; Univ Otago, Dept Biochem, Dunedin, New Zealand</t>
  </si>
  <si>
    <t>National Institute of Water &amp; Atmospheric Research (NIWA) - New Zealand; University of Otago</t>
  </si>
  <si>
    <t>Nelson, WA (corresponding author), Natl Inst Water &amp; Atmospher Res Ltd, NIWA, Private Bag 14-901, Wellington, New Zealand.</t>
  </si>
  <si>
    <t>w.nelson@niwa.co.nz</t>
  </si>
  <si>
    <t>Sutherland, Judy/T-5863-2019; Sutherland, Judy/C-3147-2008</t>
  </si>
  <si>
    <t>nelson, wendy/0000-0003-0014-5560; Sutherland, Judy/0000-0002-1722-8218; Farr, Tracy/0009-0008-3665-8804</t>
  </si>
  <si>
    <t>0031-8884</t>
  </si>
  <si>
    <t>2330-2968</t>
  </si>
  <si>
    <t>Phycologia</t>
  </si>
  <si>
    <t>10.2216/05-26.1</t>
  </si>
  <si>
    <t>039RB</t>
  </si>
  <si>
    <t>WOS:000237323300003</t>
  </si>
  <si>
    <t>Nevoux, M; Barbraud, C</t>
  </si>
  <si>
    <t>Nevoux, Marie; Barbraud, Christophe</t>
  </si>
  <si>
    <t>Relationships between sea ice concentration, sea surface temperature and demographic traits of thin-billed prions</t>
  </si>
  <si>
    <t>OCEAN CLIMATE-CHANGE; BREEDING PERFORMANCE; POPULATION-DYNAMICS; INTERANNUAL VARIABILITY; PACHYPTILA-BELCHERI; SOUTHERN-OCEAN; BODY CONDITION; BLUE PETREL; KERGUELEN; ANOMALIES</t>
  </si>
  <si>
    <t>Understanding the effects of environmental variations on ecosystems is a major topic in ecology. In this study, we estimated demographic parameters of a seabird population, the thin-billed prion (Pachyptila belcheri) at Kerguelen Islands, and then tested for relationships with inter-annual variations of climatic indices, using long-term capture-recapture data. The annual adult survival probability was 0.825 +/- 0.009 and the breeding success was 0.519 +/- 0.090. Sea surface temperature anomalies were negatively related with breeding success. By contrast, winter sea ice concentration in the Antarctic seasonal ice zone seemed to negatively influence adult survival. This suggests a connection between sub-Antarctic and Antarctic ecosystems. The actual context of large climatic changes in the Austral Ocean seems to explain a large part of the decreasing trends observed for both the breeding success and the adult survival. Thus, a decrease of the population size of thin-billed prions at Kerguelen could be strongly suspected in the near future.</t>
  </si>
  <si>
    <t>CNRS, Ctr Etud Biol Chize, F-79360 Villiers En Bois, France</t>
  </si>
  <si>
    <t>Nevoux, M (corresponding author), CNRS, Ctr Etud Biol Chize, F-79360 Villiers En Bois, France.</t>
  </si>
  <si>
    <t>stagbarb@cebc.cnrs.fr</t>
  </si>
  <si>
    <t>10.1007/s00300-005-0075-4</t>
  </si>
  <si>
    <t>055BQ</t>
  </si>
  <si>
    <t>WOS:000238425400001</t>
  </si>
  <si>
    <t>Chiantore, M; Guidetti, M; Cavallero, M; De Domenico, F; Albertelli, G; Cattaneo-Vietti, R</t>
  </si>
  <si>
    <t>Chiantore, Mariachiara; Guidetti, Marta; Cavallero, Marilu; De Domenico, Francesca; Albertelli, Giancarlo; Cattaneo-Vietti, Riccardo</t>
  </si>
  <si>
    <t>Sea urchins, sea stars and brittle stars from Terra Nova Bay (Ross sea, Antarctica)</t>
  </si>
  <si>
    <t>SCALLOP ADAMUSSIUM-COLBECKI; MCMURDO-SOUND; HYDRACTINIA-ANGUSTA; SHALLOW; REPRODUCTION; ASTEROIDS; SPONGE; DIVERSITY; ECHINOIDS; COMMUNITY</t>
  </si>
  <si>
    <t>Although echinoderms constitute some of the most conspicuous taxa of the Antarctic benthic communities, the echinoderm fauna of Terra Nova has not been described yet. The present study provides the first species list of echinoids, ophiuroids and asteroids from Terra Nova Bay (30-500 in depth) and describes the depth distribution of these species. Preliminary observations of the summer reproductive condition of some of the species are also included.</t>
  </si>
  <si>
    <t>Univ Genoa, Dipartimento Studio Terr &amp; Risorse, DIP TE RIS, I-16132 Genoa, Italy</t>
  </si>
  <si>
    <t>Chiantore, M (corresponding author), Univ Genoa, Dipartimento Studio Terr &amp; Risorse, DIP TE RIS, Corso Europa 26, I-16132 Genoa, Italy.</t>
  </si>
  <si>
    <t>chiantor@dipteris.unige.it</t>
  </si>
  <si>
    <t>Chiantore, Mariachiara/C-7070-2017</t>
  </si>
  <si>
    <t>Chiantore, Mariachiara/0000-0002-5862-1470</t>
  </si>
  <si>
    <t>10.1007/s00300-005-0077-2</t>
  </si>
  <si>
    <t>WOS:000238425400003</t>
  </si>
  <si>
    <t>Karsten, U; Schumann, R; Rothe, S; Jung, I; Medlin, L</t>
  </si>
  <si>
    <t>Karsten, Ulf; Schumann, Rhena; Rothe, Susanne; Jung, Ines; Medlin, Linda</t>
  </si>
  <si>
    <t>Temperature and light requirements for growth of two diatom species (Bacillariophyceae) isolated from an Arctic macroalga</t>
  </si>
  <si>
    <t>BENTHIC DIATOMS; PHOTOSYNTHESIS; GENUS; MICROALGAE; ECOSYSTEM; SEAGRASS; ALGAE; FJORD</t>
  </si>
  <si>
    <t>In the present study, two abundant epiphytic diatom taxa were isolated from the assimilation hairs of the brown macroalga Chordaria flagelliformis collected in the Arctic Kongsfjorden (Spitsbergen, Norway), established as unialgal cultures and their growth rates determined under controlled photon fluence rate and temperature conditions. Using morphological (light and scanning electron microscopy) and SSU rRNA gene data both isolates (ROS D99 and ROS D125) were identified as members of a Fragilaria-Synedropsis clade. The molecular data of ROS D99 and ROS D125 were not identical to any other published sequence. While ROS D99 has been identified as Fragilaria barbararum mainly due to the SEM characteristics, ROS D125 could not be definitely identified although morphological data speak for Fragilaria striatula. Both diatom species showed similar growth rates at all temperatures and photon fluence rates tested. They grew well between 0 and 15 degrees C with optimum temperatures of 12-14 degrees C, but did not survive 20 degrees C. Therefore, compared to Antarctic diatoms both taxa from Kongsfjorden can be characterised as eurythermal organisms. Increasing photon fluence rates between 2 and 15 mu mol m(-2) s(-1) were accompanied with an almost twofold increase in growth rates, but photon fluence rates &gt; 15 mu mol m(-2) s(-1) did not further enhance growth pointing to low light requirements. From these data optimum, minimum and maximum photon fluence rates and temperatures for growth can be assessed indicating that both diatoms are well acclimated to the fluctuating environmental conditions in the Arctic habitat.</t>
  </si>
  <si>
    <t>Univ Rostock, Inst Biol Sci Appl Ecol, D-18051 Rostock, Germany; Alfred Wegener Inst Polar &amp; Marine Res, D-27570 Bremerhaven, Germany</t>
  </si>
  <si>
    <t>University of Rostock; Helmholtz Association; Alfred Wegener Institute, Helmholtz Centre for Polar &amp; Marine Research</t>
  </si>
  <si>
    <t>Karsten, U (corresponding author), Univ Rostock, Inst Biol Sci Appl Ecol, Albert Einstein Str 3, D-18051 Rostock, Germany.</t>
  </si>
  <si>
    <t>ulf.karsten@biologie.uni-rostock.de</t>
  </si>
  <si>
    <t>medlin, linda k/G-4820-2010; Yang, Ines/D-6904-2012</t>
  </si>
  <si>
    <t>Yang, Ines/0000-0002-3812-2690; medlin, linda k/0000-0001-6014-8339</t>
  </si>
  <si>
    <t>10.1007/s00300-005-0078-1</t>
  </si>
  <si>
    <t>WOS:000238425400004</t>
  </si>
  <si>
    <t>Strathmann, RR; Kendall, LR; Marsh, AG</t>
  </si>
  <si>
    <t>Strathmann, Richard R.; Kendall, Lindsay R.; Marsh, Adam G.</t>
  </si>
  <si>
    <t>Embryonic and larval development of a cold adapted Antarctic ascidian</t>
  </si>
  <si>
    <t>CNEMIDOCARPA-VERRUCOSA; CHEMICAL DEFENSE; ENERGY-METABOLISM; FOOD AVAILABILITY; POTTER COVE; TEMPERATURE; REPRODUCTION; ECOLOGY; WATER; METAMORPHOSIS</t>
  </si>
  <si>
    <t>Ova of the Antarctic ascidian Cnemidocarpa verrucosa were mature at 240-245 pm. At 0 to -1.5 degrees C, embryos hatched as swimming tadpoles at 8 days from fertilization, which is close to the ages at which some Antarctic echinoderm and nemertean embryos hatch as blastulae. Comparisons of Antarctic and temperate ascidian larvae suggest that the ascidian's development rate is affected by low environmental temperatures to about the same extent as embryos and larvae of an echinoid, nemertean, and calanoid copepods. The ascidian's tadpoles were bright orange and large, &gt; 2 mm in length including tunic and &gt; 1.5 mm in length without tunic. The large and brightly colored tadpoles were conspicuous when swimming, which supports the hypothesis that larvae of C. verrucosa are chemically defended against predators. Metamorphosed juveniles were found in cultures within 16 days from fertilization, when some unsettled tadpoles still moved but were less active. The potential pelagic period may therefore be 16 or more days with 8 days as an unhatched embryo and up to 8 or more days as a tadpole. The resting metabolic rate of tadpole larvae was 15 pmol O-2 h(-1) individual(-1) which is equivalent to larval respiration rates in Antarctic echinoderms. A low resting metabolic rate suggests a potential mechanism for the extended larval lifespan in C. verrucosa.</t>
  </si>
  <si>
    <t>Univ Washington, Friday Harbor Labs, Friday Harbor, WA 98250 USA; Univ Delaware, Coll Marine Studies, Lewes, DE 19958 USA</t>
  </si>
  <si>
    <t>University of Washington; University of Delaware</t>
  </si>
  <si>
    <t>Strathmann, RR (corresponding author), Univ Washington, Friday Harbor Labs, Friday Harbor, WA 98250 USA.</t>
  </si>
  <si>
    <t>rrstrath@u.washington.edu</t>
  </si>
  <si>
    <t>10.1007/s00300-005-0080-7</t>
  </si>
  <si>
    <t>WOS:000238425400006</t>
  </si>
  <si>
    <t>Evans, CW; Pace, L; Cziko, PA; Marsh, AG; Cheng, CHC; DeVries, AL</t>
  </si>
  <si>
    <t>Metabolic energy utilization during development of Antarctic naked dragonfish (Gymnodraco acuticeps)</t>
  </si>
  <si>
    <t>COLD ADAPTATION; OXYGEN-CONSUMPTION; POLAR FISH; RESPIRATION; ARTIFACT; LARVAE; FACT; COD</t>
  </si>
  <si>
    <t>We have capitalised on the availability of eggs and adults of the naked dragonfish Gymnodraco acuticeps (Sub-order Notothenioidei, F. Bathydraconidae) near McMurdo Station, Antarctica to examine metabolic energy utilization at different stages of its life cycle. Average egg respiration rates were found to increase from 2.17 +/- 1.02 nmol O-2 h(-1) ind(-1) at about 17 h post-fertilization (hpf) to 5.72 +/- 0.56 nmol h(-1) ind(-1) at about 24 hpf, during which time the eggs underwent first cleavage. The respiration rates of embryos from 2-20 days post-fertilization (dpf) averaged 4.11 +/- 1.47 nmol O-2 h(-1) ind(-1). About 10 months post-fertilization, oxygen consumption rates of 27.14 +/- 3.92 nmol 02 h(-1) ind(-1) were recorded immediately prior to hatching, with a peak of 112.41 +/- 31.38 nmol O-2 h(-1) ind(-1) at the time of hatch. Larvae aged 46-63 days post-hatch had an average respiration rate of 64.4 +/- 15.11 nmol O-2 h(-1) ind(-1). Mass-specific respiration rates of hatched larvae (approximately 1-2 months old) were calculated using dry weights (DW) and averaged 16.1 +/- 3.4 nmol O-2 h(-1) mg(-1) DW. Adult dragonfish respiration rates (corrected for a 100 g fish and using a 0.8 scaling exponent) averaged 0.91 +/- 0.36 mmol O-2 kg(-1) h(-1) after a 48 h acclimatization period, which is not indicative of significant metabolic cold adaptation. The energy contents of dragonfish eggs and larvae were also measured by microbomb calorimetry and used, along with the respiration data, in an initial approach to estimate an energy budget. In order to balance the budget, the bulk of the available post-gastrulation respiratory energy (during 213 days of embryonic incubation) must be consumed at a relatively low average rate (7.1 nmol O-2 h(-1) ind(-1)), which supports the possibility that advanced dragonfish embryos overwinter in a relatively quiescent metabolic state while awaiting a suitable stimulus (such as the return of the sun) to initiate hatching.</t>
  </si>
  <si>
    <t>Univ Auckland, Sch Biol Sci, Auckland 1, New Zealand; Univ Delaware, Grad Coll Marine Studies, Lewes, DE 19958 USA; Univ Illinois, Dept Anim Biol, Urbana, IL 61801 USA</t>
  </si>
  <si>
    <t>University of Auckland; University of Delaware; University of Illinois System; University of Illinois Urbana-Champaign</t>
  </si>
  <si>
    <t>Evans, CW (corresponding author), Univ Auckland, Sch Biol Sci, Private Bag 92019, Auckland 1, New Zealand.</t>
  </si>
  <si>
    <t>c.evans@auckland.ac.nz</t>
  </si>
  <si>
    <t>10.1007/s00300-005-0083-4</t>
  </si>
  <si>
    <t>WOS:000238425400009</t>
  </si>
  <si>
    <t>Held, BW; Jurgens, JA; Duncan, SM; Farrell, RL; Blanchette, RA</t>
  </si>
  <si>
    <t>Assessment of fungal diversity and deterioration in a wooden structure at New Harbor, Antarctica</t>
  </si>
  <si>
    <t>HISTORIC EXPEDITION HUTS; SOFT-ROT FUNGI; MICROFUNGI; POLES</t>
  </si>
  <si>
    <t>Scientists working at New Harbor, Antarctica in November 1959 used a wooden crate as a makeshift workspace and kitchen. The structure has been used intermittently over the subsequent decades and still remains at the site with various materials left in and around it. The wooden structure was assessed for deterioration and samples collected to determine the diversity of fungi at the site after 43 years in the Antarctic environment. Results from these investigations are compared to the results from research on the historic huts of Ross Island, approximately 70 km east of New Harbor that were built 48-58 years earlier. Our analysis shows the wood of the New Harbor structure is extremely weathered and soft rot decay was detected in the wood in contact with the ground. Fungal cultures isolated from wood of the structure were identified using sequences of the internal transcribed spacer region of the rDNA. Several species of Cadophora were identified including C. malorum, C. luteo-olivacea, C. fastigiata and a previously undescribed species designated C. sp. NH. Laboratory decay experiments using two Cadophora species isolated from New Harbor demonstrated extensive decay and loss of biomass in hardwood wafers after 16 weeks. Other fungi isolated from the wood included species of Cladosporium, Hormonema, Penicillium and Lecythophora. Wind erosion has also severely affected the structure's exterior wood causing deep furrowing between earlywood and latewood cells. In general, the deterioration and fungi found at the site were similar to those found at the historic expedition huts on Ross Island, however, one species obtained is unique to the New Harbor site. This research expands our knowledge of the microbes colonizing wood brought into the polar environment and provides additional information on deterioration and decomposition processes occurring in Antarctica.</t>
  </si>
  <si>
    <t>Univ Minnesota, Dept Plant Pathol, St Paul, MN 55108 USA; Univ Waikato, Dept Biol Sci, Hamilton, New Zealand</t>
  </si>
  <si>
    <t>University of Minnesota System; University of Minnesota Twin Cities; University of Waikato</t>
  </si>
  <si>
    <t>Held, BW (corresponding author), Univ Minnesota, Dept Plant Pathol, 1991 Upper Buford Circle,495 Borlaug Hall, St Paul, MN 55108 USA.</t>
  </si>
  <si>
    <t>bheld@umn.edu</t>
  </si>
  <si>
    <t>Blanchette, Robert A./0000-0003-2819-6511</t>
  </si>
  <si>
    <t>10.1007/s00300-005-0084-3</t>
  </si>
  <si>
    <t>WOS:000238425400010</t>
  </si>
  <si>
    <t>Bergstrom, DM; Turner, PAM; Scott, J; Copson, G; Shaw, J</t>
  </si>
  <si>
    <t>Restricted plant species on sub-Antarctic Macquarie and Heard Islands</t>
  </si>
  <si>
    <t>colonisation; establishment; Poa; Carex; Ranunculus; climate change; grazing</t>
  </si>
  <si>
    <t>KERGUELEN PHYTOGEOGRAPHIC ZONE; VEGETATION; GERMINATION; ECOLOGY</t>
  </si>
  <si>
    <t>The recent distributional history of two Macquarie Island vascular plant species, Carex trifida, Poa litorosa, and the Heard Island vascular plant, Ranunculus crassipes is examined. C. trifida is known from only one small population on the north west coast of Macquarie Island. Four populations of P. litorosa were first recorded in the 1980s; we believe however, that it was first observed, but misidentified in the 1950s. R. crassipes was first discovered on Heard Island in the late 1980s. We argue that all three species are indigenous and arrived on their respective islands within the last 200 years by natural processes, most likely from warmer neighbouring islands, where these species have more extensive distributions. There have been small-scale changes in distribution of all species, mainly expansion. Further expansion of all three species is expected as a response to warming climate. Feral rabbit grazing is having a confounding negative influence on populations of P. Norosa.</t>
  </si>
  <si>
    <t>Australian Antarctic Div, Kingston, Tas 7150, Australia; Univ Tasmania, Sch Geog &amp; Enivronm Studies, Hobart, Tas 7001, Australia; Dept Primary Ind, Nat Conservat Branch, Hobart, Tas 7001, Australia</t>
  </si>
  <si>
    <t>dana.bergstrom@aad.gov.au</t>
  </si>
  <si>
    <t>Bergstrom, Dana/0000-0001-8484-8954; Shaw, Justine/0000-0002-9603-2271</t>
  </si>
  <si>
    <t>10.1007/s00300-005-0085-2</t>
  </si>
  <si>
    <t>Green Submitted, Green Accepted</t>
  </si>
  <si>
    <t>WOS:000238425400011</t>
  </si>
  <si>
    <t>Romero, OE; Kim, JH; Hebbeln, D</t>
  </si>
  <si>
    <t>Romero, Oscar E.; Kim, Jung-Hyn; Hebbeln, Dierk</t>
  </si>
  <si>
    <t>Paleoproductivity evolution off central Chile from the Last Glacial Maximum to the Early Holocene</t>
  </si>
  <si>
    <t>deglaciation; diatoms; Holocene; Last Glacial Maximum; paleoproductivity; Peru-Chile Current; sea-surface temperatures; upwelling</t>
  </si>
  <si>
    <t>PRODUCTIVITY; SEDIMENTS; OCEAN</t>
  </si>
  <si>
    <t>A geochemical and paleontological reconstruction of paleoproductivity, upwelling intensity and sea surface temperature (SST) off central Chile at 35 degrees S (GeoB3359-3) reveals marked changes from the Last Glacial Maximum (LGM) through the Early Holocene. Surface-water productivity was determined by the interaction between the atmospheric (the Southern Westerlies) and oceanographic (the Antarctic Circumpolar Current, ACC) systems from the LGM through early Termination I (TI). The northward shift of the climate zones during the LGM brought the ACC, as the main macronutrient source, closer to the GeoB3359-3, SST lowered, and surface water productivity and accumulation rates of biogenic components enhanced. With the poleward return of the Southern Westerlies and the ACC, the subtropical high-pressure system became the dominant atmospheric component southward till 35 degrees S during the late TI and Early Holocene and caused surface water productivity to increase through enhanced upwelling. (c) 2005 University of Washington. All rights reserved.</t>
  </si>
  <si>
    <t>Univ Bremen, Dept Geosci, D-28334 Bremen, Germany</t>
  </si>
  <si>
    <t>University of Bremen</t>
  </si>
  <si>
    <t>Romero, OE (corresponding author), Univ Bremen, Dept Geosci, POB 330440, D-28334 Bremen, Germany.</t>
  </si>
  <si>
    <t>oromero@uni-bremen.de</t>
  </si>
  <si>
    <t>Hebbeln, Dierk/P-9766-2016</t>
  </si>
  <si>
    <t>Hebbeln, Dierk/0000-0001-5099-6115</t>
  </si>
  <si>
    <t>1096-0287</t>
  </si>
  <si>
    <t>10.1016/j.yqres.2005.07.003</t>
  </si>
  <si>
    <t>046PG</t>
  </si>
  <si>
    <t>WOS:000237822900016</t>
  </si>
  <si>
    <t>Turney, CSM; Kershaw, AP; Lowe, JJ; van der Kaars, S; Johnston, R; Rule, S; Moss, P; Radke, L; Tibby, J; McGlone, MS; Wilmshurst, JM; Vandergoes, MJ; Fitzsimons, SJ; Bryant, C; James, S; Branch, NP; Cowley, J; Kalin, RM; Ogle, N; Jacobsen, G; Fifield, LK</t>
  </si>
  <si>
    <t>Turney, Chris S. M.; Kershaw, A. Peter; Lowe, J. John; van der Kaars, Sander; Johnston, Rochelle; Rule, Susan; Moss, Patrick; Radke, Lynda; Tibby, John; McGlone, Matt S.; Wilmshurst, Janet M.; Vandergoes, Marcus J.; Fitzsimons, Sean J.; Bryant, Charlotte; James, Sarah; Branch, Nick P.; Cowley, Joan; Kalin, Robert M.; Ogle, Neil; Jacobsen, Geraldine; Fifield, L. Keith</t>
  </si>
  <si>
    <t>Climatic variability in the southwest Pacific during the Last Termination (20-10 kyr BP)</t>
  </si>
  <si>
    <t>GLACIAL-INTERGLACIAL TRANSITION; LATE QUATERNARY PALEOECOLOGY; ANTARCTIC CIRCUMPOLAR WAVE; SEA-SURFACE TEMPERATURES; FRANZ-JOSEF-GLACIER; NEW-ZEALAND; NORTH-ATLANTIC; BRITISH-ISLES; SOUTHERN ALPS; EL-NINO</t>
  </si>
  <si>
    <t>The degree to which palaeoclimatic changes in the Southern Hemisphere co-varied with events in the high latitude Northern Hemisphere during the Last Termination is a contentious issue, with conflicting evidence for the degree of 'teleconnection' between different regions of the Southern Hemisphere. The available hypotheses are difficult to test robustly, however, because there are few detailed palaeoclimatic records in the Southern Hemisphere. Here we present climatic reconstructions from the southwestern Pacific, a key region in the Southern Hemisphere because of the potentially important role it plays in global climate change. The reconstructions for the period 20-10 kyr BP were obtained from five sites along a transect from southern New Zealand, through Australia to Indonesia, supported by 125 calibrated C-14 ages. Two periods of significant climatic change can be identified across the region at around 17 and 14.2 cal kyr BP, most probably associated with the onset of warming in the West Pacific Warm Pool and the collapse of Antarctic ice during Meltwater Pulse-1A, respectively. The severe geochronological constraints that inherently afflict age models based on radiocarbon dating and the lack of quantified climatic parameters make more detailed interpretations problematic, however. There is an urgent need to address the geochronological limitations, and to develop more precise and quantified estimates of the pronounced climate variations that clearly affected this region during the Last Termination. (c) 2005 Elsevier Ltd. All rights reserved.</t>
  </si>
  <si>
    <t>Univ Wollongong, Sch Earth &amp; Environm Sci, GeoQuEST Res Ctr, Wollongong, NSW 2522, Australia; Monash Univ, Sch Geog &amp; Environm Sci, Ctr Palynol &amp; Palaeoecol, Clayton, Vic 3800, Australia; Univ London Royal Holloway &amp; Bedford New Coll, Dept Geog, Egham TW20 0EX, Surrey, England; Univ Queensland, Sch Geog Planning &amp; Architecture, Brisbane, Qld 4072, Australia; Coastal CRC, Geosci Australia, Canberra, ACT 2601, Australia; Univ Adelaide, Fac Humanities &amp; Social Sci, Adelaide, SA 5005, Australia; Landcare Res, Lincoln 8152, New Zealand; Univ Maine, Climate Change Inst, Orono, ME 04469 USA; Univ Otago, Dept Geog, Dunedin, New Zealand; NERC, Radiocarbon Lab, E Kilbride G75 0QU, Lanark, Scotland; Nat Hist Museum, Dept Mineral, London SW7 5BD, England; Australian Natl Univ, Res Sch Earth Sci, Canberra, ACT 0200, Australia; Queens Univ Belfast, Sch Civil Engn, Environm Engn Res Ctr, Belfast BT9 5AG, Antrim, North Ireland; Australian Nucl Sci &amp; Technol Org, Menai, NSW 2234, Australia; Australian Natl Univ, Res Sch Phys Sci &amp; Engn, Dept Nucl Phys, Canberra, ACT 0200, Australia</t>
  </si>
  <si>
    <t>University of Wollongong; Monash University; University of London; Royal Holloway University London; University of Queensland; Geoscience Australia; University of Adelaide; Landcare Research - New Zealand; University of Maine System; University of Maine Orono; University of Otago; UK Research &amp; Innovation (UKRI); Natural Environment Research Council (NERC); NERC British Geological Survey; Natural History Museum London; Australian National University; Queens University Belfast; Australian Nuclear Science &amp; Technology Organisation; Australian National University</t>
  </si>
  <si>
    <t>Turney, CSM (corresponding author), Univ Wollongong, Sch Earth &amp; Environm Sci, GeoQuEST Res Ctr, Wollongong, NSW 2522, Australia.</t>
  </si>
  <si>
    <t>turney@uow.edu.au</t>
  </si>
  <si>
    <t>Kalin, Robert/E-8620-2011; Bryant, Charlotte L/G-3453-2012; Fitzsimons, Sean/C-4024-2009; Wilmshurst, Janet/O-8611-2019; Moss, Patrick/AFM-9408-2022; Turney, Chris/P-8701-2018; van der Kaars, Sander/G-2268-2016</t>
  </si>
  <si>
    <t>Kalin, Robert/0000-0003-3768-3848; Wilmshurst, Janet/0000-0002-4474-8569; Fifield, Leslie/0000-0003-2866-4944; Moss, Patrick/0000-0003-1546-9242; Turney, Chris/0000-0001-6733-0993; Kershaw, Peter/0000-0002-9478-0567; Tibby, John/0000-0002-5897-2932; van der Kaars, Sander/0000-0002-2511-0439</t>
  </si>
  <si>
    <t>9-10</t>
  </si>
  <si>
    <t>10.1016/j.quascirev.2005.09.007</t>
  </si>
  <si>
    <t>053JA</t>
  </si>
  <si>
    <t>WOS:000238300200003</t>
  </si>
  <si>
    <t>Amblas, D; Urgeles, R; Canals, M; Calafat, AM; Rebesco, M; Camerlenghi, A; Estrada, F; De Batist, M; Hughes-Clarke, JE</t>
  </si>
  <si>
    <t>Amblas, David; Urgeles, Roger; Canals, Miquel; Calafat, Antoni M.; Rebesco, Michele; Camerlenghi, Angelo; Estrada, Ferran; De Batist, Marc; Hughes-Clarke, John E.</t>
  </si>
  <si>
    <t>Relationship between continental rise development and palaeo-ice sheet dynamics, Northern Antarctic Peninsula Pacific margin</t>
  </si>
  <si>
    <t>GLACIMARINE SEDIMENTARY PROCESSES; LAST GLACIAL MAXIMUM; SEA-FLOOR EVIDENCE; SEISMIC STRATIGRAPHY; STREAM-B; BASIN; WEST; ENVIRONMENT; MORPHOLOGY; EVOLUTION</t>
  </si>
  <si>
    <t>Acquisition of swath bathymetry data west of the North Antarctic Peninsula (NAP), between 63 degrees S and 66 degrees S, and its integration with the predicted seafloor topography of Smith and Sandwell [Global seafloor topography from satellite altimetry and ship depth soundings. Science 277, 1956-1962.] reveal the links between the continental rise depositional systems and the NAP palaeo-ice sheet dynamics. The NAP Pacific margin consists of a wide continental shelf dissected by several troughs, tens of kilometres wide and long. The Biscoe Trough, which has been almost entirely surveyed with rnultibeam sonar, shows spectacular fan-shaped streamlining sea-floor morphologies revealing the presence of ice streams during the Last Glacial Maximum. In the study area the continental rise comprises the six northernmost sediment mounds of the NAP Pacific margin and the canyon-channel systems between them. These giant sediment mounds have developed since the early Neogene by southwest flowing bottom currents, which have redistributed along the margin the fine-grained component of the turbiditic Currents flowing down canyon-channel systems. The widespread evidence of shallow slope instability within the sediment mounds has been identified from both swath bathymetry and topographic parametric sonar seismic reflection profiles. Bathymetric data show that the heads of all the rise canyon-channel systems coincide geographically with the mouths of the major glacial troughs on the continental shelfed. This suggests a close genetic link between these morphological features and allows considering a glacio-sedimentary model for the western NAP outer margin seascape development. This model considers the availability of depositional space on the continental rise as the limiting factor for Mound development. The depositional space, in turn, is controlled by the spacing between glacial maxima shelf-edge reaching ice streams. This model takes into account both glacial and interglacial scenarios and gives new insights on evaluating the palaeoenvironmental record of the continental rise sediment mounds. (c) 2005 Elsevier Ltd. All rights reserved.</t>
  </si>
  <si>
    <t>Univ Barcelona, GRC Geociencias Marines, E-08028 Barcelona, Spain; Ist Nazl Oceanog &amp; Geofis Sperimentale, I-34010 Trieste, Italy; CSIC, Inst Ciencias Mar, E-08003 Barcelona, Spain; Univ Ghent, Renard Ctr Marine Geol, B-9000 Ghent, Belgium; Univ New Brunswick, Ocean Mapping Grp, Fredericton, NB E3B 5A3, Canada</t>
  </si>
  <si>
    <t>University of Barcelona; Istituto Nazionale di Oceanografia e di Geofisica Sperimentale; Consejo Superior de Investigaciones Cientificas (CSIC); CSIC - Centro Mediterraneo de Investigaciones Marinas y Ambientales (CMIMA); CSIC - Instituto de Ciencias del Mar (ICM); Ghent University; University of New Brunswick</t>
  </si>
  <si>
    <t>Canals, M (corresponding author), Univ Barcelona, GRC Geociencias Marines, Marti &amp; Franques S-N, E-08028 Barcelona, Spain.</t>
  </si>
  <si>
    <t>De Batist, Marc/F-5722-2012; Estrada, Ferran/G-8255-2015; Urgeles, Roger/A-9231-2010; Camerlenghi, Angelo/C-8816-2011; Rebesco, Michele/B-7462-2014; Camerlenghi, Angelo/O-1593-2013; Camerlenghi, Angelo/AAG-3852-2019; Calafat, Antoni/J-5848-2017; Canals, Miquel/F-4922-2013; Amblas, David/A-5482-2015</t>
  </si>
  <si>
    <t>De Batist, Marc/0000-0002-1625-2080; Urgeles, Roger/0000-0001-9438-1753; Rebesco, Michele/0000-0002-9492-4081; Camerlenghi, Angelo/0000-0002-8128-9533; Camerlenghi, Angelo/0000-0002-8128-9533; Calafat, Antoni/0000-0001-7927-3105; Hughes Clarke, John/0000-0002-3846-9926; Canals, Miquel/0000-0001-5267-7601; Estrada, Ferran/0000-0001-5536-0183; Amblas, David/0000-0002-6248-5512</t>
  </si>
  <si>
    <t>10.1016/j.quascirev.2005.07.012</t>
  </si>
  <si>
    <t>WOS:000238300200006</t>
  </si>
  <si>
    <t>Takeya, S; Honda, K; Yoneyama, A; Hirai, Y; Okuyama, J; Hondoh, T; Hyodo, K; Takeda, T</t>
  </si>
  <si>
    <t>Observation of low-temperature object by phase-contrast x-ray imaging: Nondestructive imaging of air clathrate hydrates at 233 K</t>
  </si>
  <si>
    <t>REVIEW OF SCIENTIFIC INSTRUMENTS</t>
  </si>
  <si>
    <t>ICE CORE; ANTARCTIC ICE; COMPUTED-TOMOGRAPHY; LATTICE-CONSTANTS; THERMAL-EXPANSION; INTERFEROMETER; INCLUSIONS; SPECIMEN; SYSTEM; RATIO</t>
  </si>
  <si>
    <t>A cryochamber and a liquid cell that are designed for nondestructive three dimensional observations and arranged in a two-crystal x-ray interferometer expand the use of phase-contrast x-ray imaging that could only be performed at room temperature in previous studies to a new temperature range of 190 K to room temperature. The methyl acetate in the liquid cell prevents undesirable sample outline contrasts and enables internal observations. Both a nondestructive observation and a highly accurate absolute density of the materials under low-temperature conditions can be obtained with a single measurement using this new technique. A three dimensional x-ray computed tomography (x-ray CT) of the air clathrate hydrate in the hexagonal ice drilled from Dome Fuji in Antarctica is shown, and the density of the air hydrate is estimated to be 0.937(3) g/cm(3) at 233 K. (c) 2006 American Institute of Physics.</t>
  </si>
  <si>
    <t>Natl Inst Adv Ind Sci &amp; Technol, AIST, Tsukuba, Ibaraki 3058565, Japan; Hitachi Ltd, Adv Res Lab, Hatoyama, Saitama 3500395, Japan; Hokkaido Univ, Inst Low Temp Sci, Sapporo, Hokkaido 0600819, Japan; High Energy Accelerator Res Org, Tsukuba, Ibaraki 3050801, Japan; Univ Tsukuba, Inst Clin Med, Ibaraki 3058575, Japan</t>
  </si>
  <si>
    <t>National Institute of Advanced Industrial Science &amp; Technology (AIST); Hitachi Limited; Hokkaido University; High Energy Accelerator Research Organization (KEK); University of Tsukuba</t>
  </si>
  <si>
    <t>Takeya, S (corresponding author), Natl Inst Adv Ind Sci &amp; Technol, AIST, Cent 5,1-1-1 Higashi, Tsukuba, Ibaraki 3058565, Japan.</t>
  </si>
  <si>
    <t>s.takeya@aist.go.jp</t>
  </si>
  <si>
    <t>Takeya, Satoshi/L-2108-2018; Yoneyama, Akio/ABH-5357-2020; HONDOH, Takeo/E-7551-2011</t>
  </si>
  <si>
    <t>Takeya, Satoshi/0000-0002-7240-2899; hyodo, kazuyuki/0000-0002-9948-5321; HONDOH, Takeo/0000-0003-4129-022X; Yoneyama, Akio/0000-0001-6925-6723</t>
  </si>
  <si>
    <t>AMER INST PHYSICS</t>
  </si>
  <si>
    <t>MELVILLE</t>
  </si>
  <si>
    <t>CIRCULATION &amp; FULFILLMENT DIV, 2 HUNTINGTON QUADRANGLE, STE 1 N O 1, MELVILLE, NY 11747-4501 USA</t>
  </si>
  <si>
    <t>0034-6748</t>
  </si>
  <si>
    <t>REV SCI INSTRUM</t>
  </si>
  <si>
    <t>Rev. Sci. Instrum.</t>
  </si>
  <si>
    <t>10.1063/1.2200751</t>
  </si>
  <si>
    <t>Instruments &amp; Instrumentation; Physics, Applied</t>
  </si>
  <si>
    <t>Instruments &amp; Instrumentation; Physics</t>
  </si>
  <si>
    <t>048KM</t>
  </si>
  <si>
    <t>Green Published, Green Submitted</t>
  </si>
  <si>
    <t>WOS:000237946000014</t>
  </si>
  <si>
    <t>Ke, F; Wang, HJ</t>
  </si>
  <si>
    <t>Fan Ke; Wang Huijun</t>
  </si>
  <si>
    <t>Interannual variability of Antarctic Oscillation and its influence on East Asian climate during boreal winter and spring</t>
  </si>
  <si>
    <t>SCIENCE IN CHINA SERIES D-EARTH SCIENCES</t>
  </si>
  <si>
    <t>Antarctic Oscillation; Eurasian west wind; meridional teleconnection; mean meridional circulation</t>
  </si>
  <si>
    <t>SOUTHERN-HEMISPHERE; MONSOON; TELECONNECTIONS; FREQUENCY; MODEL</t>
  </si>
  <si>
    <t>The interannual variability of Antarctic Oscillation (AAO) and its influence on East Asian climate during both boreal winter and spring are addressed. The results show that the positive AAO anomaly decreases the cold activity over East Asia during both boreal winter and spring. AAO-related barotropic meridional teleconnection from Antarctic to Arctic is found through analysis of mean meridional circulations. This meridional teleconnection is remarkable over Eurasia during boreal winter and over the Pacific Ocean during boreal spring. The results also show that zonal mean zonal wind at high latitudes in Southern Hemisphere has well positive correlation with that of Eurasia during boreal winter and has negative correlation with Pacific North American teleconnection (PNA) during boreal spring, which again display the meridional teleconnection. Thus, local meridional teleconnection is a possible linkage for interaction of circulations at mid-high latitudes between both hemispheres.</t>
  </si>
  <si>
    <t>Chinese Acad Sci, Inst Atmospher Phys, Nansen Zhu Int Res Ctr, Beijing 100029, Peoples R China; Yunnan Univ, Dept Atmospher Sci, Kunming 650091, Peoples R China; Chinese Acad Sci, Grad Univ, Beijing 100049, Peoples R China</t>
  </si>
  <si>
    <t>Ke, F (corresponding author), Chinese Acad Sci, Inst Atmospher Phys, Nansen Zhu Int Res Ctr, Beijing 100029, Peoples R China.</t>
  </si>
  <si>
    <t>1006-9313</t>
  </si>
  <si>
    <t>SCI CHINA SER D</t>
  </si>
  <si>
    <t>Sci. China Ser. D-Earth Sci.</t>
  </si>
  <si>
    <t>10.1007/S11430-006-0554-7</t>
  </si>
  <si>
    <t>057GV</t>
  </si>
  <si>
    <t>WOS:000238585200012</t>
  </si>
  <si>
    <t>Blecker, SW; Ippolito, JA; Barrett, JE; Wall, DH; Virginia, RA; Norvell, KL</t>
  </si>
  <si>
    <t>Phosphorus fractions in soils of Taylor Valley, Antarctica</t>
  </si>
  <si>
    <t>SOIL SCIENCE SOCIETY OF AMERICA JOURNAL</t>
  </si>
  <si>
    <t>MCMURDO DRY VALLEYS; GEOCHEMICAL PROCESSES; HYPORHEIC EXCHANGE; ORGANIC-CARBON; VICTORIA LAND; PHOSPHATE; BIODIVERSITY; BIOGEOCHEMISTRY; INVERTEBRATES; COMMUNITIES</t>
  </si>
  <si>
    <t>Phosphorus studies in the cold desert ecosystem of the Antarctic Dry Valleys have been largely confined to stream sediments and orthinogenic regions. Expanding P studies to soils may augment the understanding of P biogeochemistry and habitat suitability in this extreme environment. Our objectives were to examine P fractionation in Antarctic Dry Valley soils and sediments and compare their relationship to other soil biogeochemical data. Samples were obtained along transects perpendicular to the Harnish and Priscu streams in Lake Fryxell and Lake Bonney basins, respectively. We utilized a sequential inorganic P extraction procedure, analyzing for a series of labile through resistant P fractions. We further analyzed soils for labile organic P and biomass P. Results showed the amount of inorganic P increased from soluble to Ca-bound P at both sites, with greater weathering of P-bearing minerals at the Fryxell site inferred from the greater P levels found in most fractions as compared with the Bonney site. Fryxell site soluble P findings correlated positively with the Al-bound phase, possibly facilitating P availability to microfauna. The P fraction distribution at both the Fryxell and Bonney sites fits the general relationship between weathering intensity and P distribution of other and ecosystems.</t>
  </si>
  <si>
    <t>Colorado State Univ, Dept Soil &amp; Crop Sci, Ft Collins, CO 80523 USA; Dartmouth Coll, Environm Studies Program, Hanover, NH 03755 USA; Colorado State Univ, Nat Resource Ecol Lab, Ft Collins, CO 80523 USA</t>
  </si>
  <si>
    <t>Colorado State University; Dartmouth College; Colorado State University</t>
  </si>
  <si>
    <t>Colorado State Univ, Dept Soil &amp; Crop Sci, Ft Collins, CO 80523 USA.</t>
  </si>
  <si>
    <t>ippolito@lamar.colostate.edu</t>
  </si>
  <si>
    <t>Ippolito, Jim/0000-0001-8077-0088; Barrett, John/0000-0002-7610-0505</t>
  </si>
  <si>
    <t>0361-5995</t>
  </si>
  <si>
    <t>1435-0661</t>
  </si>
  <si>
    <t>SOIL SCI SOC AM J</t>
  </si>
  <si>
    <t>Soil Sci. Soc. Am. J.</t>
  </si>
  <si>
    <t>10.2136/sssaj2005.0333</t>
  </si>
  <si>
    <t>039YL</t>
  </si>
  <si>
    <t>WOS:000237344500012</t>
  </si>
  <si>
    <t>Korovchinsky, NM</t>
  </si>
  <si>
    <t>The Cladocera (Crustacea: Branchiopoda) as a relict group</t>
  </si>
  <si>
    <t>ZOOLOGICAL JOURNAL OF THE LINNEAN SOCIETY</t>
  </si>
  <si>
    <t>antiquity; faunal formation; fossils; taxonomic composition; zoogeography</t>
  </si>
  <si>
    <t>COMPARATIVE FUNCTIONAL MORPHOLOGY; AMERICAN DAPHNIA CRUSTACEA; FRESH-WATER ZOOPLANKTON; SUB-ANTARCTIC ISLANDS; ADAPTIVE RADIATION; SPECIES-DIVERSITY; GEOGRAPHICAL-DISTRIBUTION; LATITUDINAL DISTRIBUTION; TAXONOMIC REEVALUATION; CHYDORIDAE CRUSTACEA</t>
  </si>
  <si>
    <t>According to the fossil record and DNA data, the Cladocera is an ancient crustacean group. Recent revisions make their taxonomy amenable to zoogeographical analysis. A bipolar (antitropical) disjunct distribution of faunal complexes and taxa (Daphnia, Daphniopsis, Pleuroxus, Tretocephala, etc.), the wide ranges of some species and narrow restriction of others, the presence of isolated populations and the concentration of endemics in the warm temperate - subtropical zone of both hemispheres are traits of cladoceran zoogeography. These enable us to compare them with better studied (both living and fossil) plants, invertebrates and vertebrates, and to analyse their faunal formation by the modern version of the concept of 'ejected relicts' instead of vicariance. This reveals the extant Cladocera as a relict group, whose taxa were widely distributed in the past. Tertiary climatic changes, primarily within the present tropical and boreal latitudes, resulted in mass extinction of their biotas, while the warm temperate - subtropical regions remained comparatively unchanged. Although most recent Cladocera have relict status, others such as the D. pulex and D. longispina species groups and the subgenus Eubosmina are evolutionary young and show recent speciation. (c) 2006 The Linnean Society of London, Zoological Journal of the Linnean Society, 2006, 147, 109-124.</t>
  </si>
  <si>
    <t>Russian Acad Sci, AN Severtsov Inst Ecol &amp; Evolut, Moscow 119071, Russia</t>
  </si>
  <si>
    <t>Russian Academy of Sciences; Saratov Scientific Center of the Russian Academy of Sciences; Severtsov Institute of Ecology &amp; Evolution</t>
  </si>
  <si>
    <t>Russian Acad Sci, AN Severtsov Inst Ecol &amp; Evolut, Leninsky Prosp 33, Moscow 119071, Russia.</t>
  </si>
  <si>
    <t>nmkor@sevin.ru</t>
  </si>
  <si>
    <t>0024-4082</t>
  </si>
  <si>
    <t>1096-3642</t>
  </si>
  <si>
    <t>ZOOL J LINN SOC-LOND</t>
  </si>
  <si>
    <t>Zool. J. Linn. Soc.</t>
  </si>
  <si>
    <t>10.1111/j.1096-3642.2006.00217.x</t>
  </si>
  <si>
    <t>036ZX</t>
  </si>
  <si>
    <t>WOS:000237117600004</t>
  </si>
  <si>
    <t>Fujihira, T; Kobayashi, M; Hochi, S; Hirabayashi, M; Ishikawa, H; Ohsumi, S; Fukui, Y</t>
  </si>
  <si>
    <t>Fujihira, Takuma; Kobayashi, Mariko; Hochi, Shinichi; Hirabayashi, Masumi; Ishikawa, Hajime; Ohsumi, Seiji; Fukui, Yutaka</t>
  </si>
  <si>
    <t>Developmental capacity of Antarctic minke whale (Balaenoptera bonaerensis) vitrified oocytes following in vitro maturation, and parthenogenetic activation or intracytoplasmic sperm injection</t>
  </si>
  <si>
    <t>ZYGOTE</t>
  </si>
  <si>
    <t>ICSI; IVM; minke whale oocyte; parthenogenetic activation; vitrification</t>
  </si>
  <si>
    <t>ACUTOROSTRATA FOLLICULAR OOCYTES; IMMATURE PORCINE OOCYTES; FERTILIZATION; VITRIFICATION; EMBRYOS; COMPETENCE; ENZYMES; FLUID; SIZE</t>
  </si>
  <si>
    <t>The present study investigated the effects of the sexual maturity of oocyte donors on in vitro maturation (IVM) and the parthenogenetic developmental capacity of fresh minke whale oocytes. The effects of cytochalasin B (CB) pretreatment and two types of cryoprotectant solutions (ethylene glycol (EG) or ethylene glycol and dimethylsulfoxide (EG + DMSO)) on the in vitro maturation of vitrified immature whale oocytes were compared, and the developmental capacity of vitrified immature whale oocytes following IVM and intracytoplasmic sperm injection examined (ICSI). The maturation rate did not differ significantly with sexual maturity (adult, 60.9%; prepubertal, 53.1%), but the parthenogenetic activation rate of oocytes from adult donors (76.7%) was significantly higher (p &lt; 0.05) than that of oocytes from prepubertal donors (46.4%). The maturation rates after vitrification and warming were not significantly different between the EG (22.2%) and EG + DMSO groups (30.2%), or between the CB-treated (30.4%) and non-CB-treated groups (27.3%). These results indicate that parthenogenetic activation of in vitro matured oocytes from adult minke whales was superior to that from prepubertal whales, but that the developmental capacity of the whale oocytes after parthenogenetic activation or ICSI was still low. The present study also showed that CB treatment before vitrification and two kinds of cryoprotectants did not improve the IVM rate following the vitrification of immature whale oocytes.</t>
  </si>
  <si>
    <t>Obihiro Univ Agr &amp; Vet Med, Lab Anim Reprod, Obihiro, Hokkaido 0808555, Japan; Shinshu Univ, Fac Text Sci &amp; Technol, Ueda, Nagano 3868567, Japan; Natl Inst Physiol Sci, Okazaki, Aichi 4448787, Japan; Inst Cetacean Res, Tokyo 1040055, Japan</t>
  </si>
  <si>
    <t>Obihiro University of Agriculture &amp; Veterinary Medicine; Shinshu University; National Institutes of Natural Sciences (NINS) - Japan; National Institute for Physiological Sciences (NIPS)</t>
  </si>
  <si>
    <t>Fukui, Y (corresponding author), Obihiro Univ Agr &amp; Vet Med, Lab Anim Reprod, Obihiro, Hokkaido 0808555, Japan.</t>
  </si>
  <si>
    <t>fukui@obihiro.ac.jp</t>
  </si>
  <si>
    <t>Hirabayashi, Masumi/C-8935-2019; Hochi, Shinichi/T-4316-2019</t>
  </si>
  <si>
    <t>Hirabayashi, Masumi/0000-0002-1059-5883; Hochi, Shinichi/0000-0001-5315-3471</t>
  </si>
  <si>
    <t>0967-1994</t>
  </si>
  <si>
    <t>1469-8730</t>
  </si>
  <si>
    <t>Zygote</t>
  </si>
  <si>
    <t>10.1017/S0967199406003601</t>
  </si>
  <si>
    <t>Cell Biology; Developmental Biology; Reproductive Biology</t>
  </si>
  <si>
    <t>052DZ</t>
  </si>
  <si>
    <t>WOS:000238212900001</t>
  </si>
  <si>
    <t>Chevrier, V; Mathe, PE; Rochette, P; Gunnaugsson, HP</t>
  </si>
  <si>
    <t>Magnetic study of an Antarctic weathering profile on basalt: Implications for recent weathering on Mars</t>
  </si>
  <si>
    <t>Antarctica; Ferrar dolerite; Mars; regolith; rock magnetism; weathering</t>
  </si>
  <si>
    <t>MARTIAN SURFACE; VICTORIA LAND; HEMATITE; SOIL; TITANOMAGHEMITE; MINERALOGY; ROCKS; EARTH; DUST; SPECTROMETER</t>
  </si>
  <si>
    <t>In order to better interpret the Martian surface weathering-related mineralogy, we focused on a relevant analogue of the Martian subsurface in terms of lithology and paleoclimate: the Jurassic-aged Ferrar dolerite (Priestley Glacier, Transantarctic Mountains), weathered in cold and dry climate. Together with chemical and mineralogical studies, rock magnetic properties were investigated and completed with Mossbauer measurements. Weathering of the decimetric block is evidenced by chemical profiles showing ail increase in Fe content (from 10.5 in the core to 13wt.% in the surface) and a decrease in Si (from 57 to 53 wt.%, respectively). According to mineralogical, thermomagnetic and hysteresis properties, the main opaque mineral is inherited titanomaghemite, with a concentration about 1%. Enhancement in low field magnetic susceptibility (from 4.10(-6) to 10-10(-6)m(3)/kg, respectively) and saturation magnetization (from 0.44 to 0.96Am(2)/kg, respectively) indicates the neoformation of metastable maghemite. Neoformed red ferric (oxy)hydroxides are abundant in the surface. High field susceptibility normalized to iron concentration and Mossbauer spectra indicate a replacement of Fe2+ from primary silicates (pyroxene) by poorly crystalline anti ferromagnetic Fe3+ (oxy) hydroxides. Thus, highly magnetic titanomaghemite and maghemite coexist with nanosized ferric (oxy)hydroxides and primary silicates, in accordance with Martian in situ observations. Therefore, this study supports the formation of the Martian regolith as resulting from a slow weathering process in near present day conditions. (c) 2006 Elsevier B.V. All rights reserved.</t>
  </si>
  <si>
    <t>Univ Arkansas, Arkansas Ctr Space &amp; Planetary Sci, Fayetteville, AR 72701 USA; CEREGE, F-13545 Aix En Provence, France; Aarhus Univ, Mars Simulat Lab, DK-8000 Aarhus C, Denmark</t>
  </si>
  <si>
    <t>University of Arkansas System; University of Arkansas Fayetteville; Aix-Marseille Universite; Aarhus University</t>
  </si>
  <si>
    <t>Univ Arkansas, Arkansas Ctr Space &amp; Planetary Sci, 202 Old Museum Bldg, Fayetteville, AR 72701 USA.</t>
  </si>
  <si>
    <t>vchevrie@uark.edu</t>
  </si>
  <si>
    <t>Rochette, Pierre/O-4612-2019; Gunnlaugsson, Haraldur/L-6535-2016</t>
  </si>
  <si>
    <t>Rochette, Pierre/0000-0002-7362-0660; Gunnlaugsson, Haraldur/0000-0002-8958-0245</t>
  </si>
  <si>
    <t>APR 30</t>
  </si>
  <si>
    <t>10.1016/j.epsl.2006.02.033</t>
  </si>
  <si>
    <t>040LA</t>
  </si>
  <si>
    <t>WOS:000237378900001</t>
  </si>
  <si>
    <t>Dmitrenko, IA; Polyakov, IV; Kirillov, SA; Timokhov, LA; Simmons, HL; Ivanov, VV; Walsh, D</t>
  </si>
  <si>
    <t>Seasonal variability of Atlantic water on the continental slope of the Laptev Sea during 2002-2004</t>
  </si>
  <si>
    <t>Atlantic water layer; seasonal temperature variations; wind</t>
  </si>
  <si>
    <t>ARCTIC-OCEAN</t>
  </si>
  <si>
    <t>2002-04 observations carried out oil the Laptev Sea continental slope as part of the Nansen and Amundsen Basins Observational System (NABOS) project are used to study variations of the intermediate (150-800 in) Atlantic water (AW) layer of the Arctic Ocean. At the mooring site, AW exhibits seasonal changes, with higher/lower temperature and salinity in winter/summer. This variability is attributed to the shift of the AW core toward the slope in winter and away from the slope in summer. Seasonal variation of wind is among the possible factors governing seasonal changes of the AW layer. (c) 2006 Elsevier B.V. All rights reserved.</t>
  </si>
  <si>
    <t>Univ Alaska Fairbanks, Int Arctic Res Ctr, Fairbanks, AK 99775 USA; Arctic &amp; Antarctic Res Inst, St Petersburg, Russia; USN, Res Lab, Stennis Space Ctr, MS 39529 USA</t>
  </si>
  <si>
    <t>University of Alaska System; University of Alaska Fairbanks; Arctic &amp; Antarctic Research Institute; United States Department of Defense; United States Navy; Naval Research Laboratory</t>
  </si>
  <si>
    <t>Univ Alaska Fairbanks, Int Arctic Res Ctr, Fairbanks, AK 99775 USA.</t>
  </si>
  <si>
    <t>igordm@iarc.uaf.edu</t>
  </si>
  <si>
    <t>Ivanov, Vladimir/J-5979-2014; Ivanov, Vladimir/AAX-6830-2020</t>
  </si>
  <si>
    <t>Ivanov, Vladimir/0000-0003-2569-6027; Dmitrenko, Igor/0000-0001-8388-7839</t>
  </si>
  <si>
    <t>10.1016/j.epsl.2006.01.067</t>
  </si>
  <si>
    <t>WOS:000237378900018</t>
  </si>
  <si>
    <t>Hernández-Molina, FJ; Larter, RD; Rebesco, M; Maldonado, A</t>
  </si>
  <si>
    <t>Miocene reversal of bottom water flow along the Pacific Margin of the Antarctic Peninsula:: Stratigraphic evidence from a contourite sedimentary tail</t>
  </si>
  <si>
    <t>Antarctic Peninsula Pacific margin; contourite deposits; seamounts; palaeoceanography; seismic stratigraphy; Miocene; Pliocene; Quaternary</t>
  </si>
  <si>
    <t>CONTINENTAL RISE WEST; WEDDELL SEA DEEP; SOUTHERN-OCEAN; SCOTIA SEA; CIRCUMPOLAR CURRENT; CURRENTS; DRIFT; CIRCULATION; DEPOSITS; MASSES</t>
  </si>
  <si>
    <t>A Fossil Mounded Sedimentary Body (MB) has been identified in the sedimentary record on the central continental rise west of Adelaide Island, on the Antarctic Peninsula Pacific margin. The growth patterns of the MB are defined through a detailed regional stratigraphic analysis using multichannel seismic reflection profiles. The MB has an elongated NE trend. It overlaps and continues to the NE of an extensive cluster of seamounts, and it developed between two non-depositional troughs. Nine seismic units have been identified: Unit 9 (the pre-MB stage), Unit 8 (MB growth stage), Units 7 and 6 (MB maintenance stage), Units 5 and 4 (transitional stage), and Units 3, 2 and I (inactive stage). We interpret the MB as a patch drift plastered against the NE, lee side of an obstacle, as a long Contourite Sedimentary Tail (CST), within a deep current that flowed northeastward. This segment of the rise is, however, affected at present by a SW-flowing branch of the Lower Circumpolar Deep Water (LCDW) from the Weddell Sea. The depositional patterns of the MB growth and maintenance stages, which are attributed an early Miocene age on the basis of regional correlation of MCS profiles with DSDP Site 325 and CDP Leg 178 drill sites, provide the first evidence that bottom currents on the central continental rise flowed towards the NE at that time, probably as part of the Lower Circumpolar Deep Water (LCDW) of the Antarctic Circumpolar Current (ACC). We suggest that significant palaeocirculation and palaeoceanographic changes occurred in this area, and probably more widely, during the middle Miocene or at the Miocene/Pliocene boundary. Although these results do not modify the regional stratigraphy of the major sediment drifts found on the continental rise of the Antarctic Peninsula's Pacific margin, they do indicate that the bottom current regime controlling the development of contourite deposits may have changed over time and also that more than one water mass has probably affected their distribution. (c) 2006 Elsevier B.V All rights reserved.</t>
  </si>
  <si>
    <t>Univ Vigo, Dpto Geociencias Marinas, Vigo 36200, Spain; British Antarctic Survey, Cambridge CB3 0ET, England; Ist Nazl Oceanog &amp; Geofis Sperimentale, OGS, I-34010 Trieste, Italy; Univ Granada, CSIC, IACT, Granada 18002, Spain</t>
  </si>
  <si>
    <t>Universidade de Vigo; UK Research &amp; Innovation (UKRI); Natural Environment Research Council (NERC); NERC British Antarctic Survey; Istituto Nazionale di Oceanografia e di Geofisica Sperimentale; University of Granada; Consejo Superior de Investigaciones Cientificas (CSIC); CSIC - Instituto Andaluz de Ciencias de la Tierra (IACT)</t>
  </si>
  <si>
    <t>Univ Vigo, Dpto Geociencias Marinas, Vigo 36200, Spain.</t>
  </si>
  <si>
    <t>fjherman@uvigo.es</t>
  </si>
  <si>
    <t>Rebesco, Michele/B-7462-2014</t>
  </si>
  <si>
    <t>Rebesco, Michele/0000-0002-9492-4081; Larter, Robert/0000-0002-8414-7389</t>
  </si>
  <si>
    <t>NERC [bas010013, bas010018] Funding Source: UKRI; Natural Environment Research Council [bas010013, bas010018, NER/G/S/2002/00009] Funding Source: researchfish</t>
  </si>
  <si>
    <t>1-4</t>
  </si>
  <si>
    <t>+</t>
  </si>
  <si>
    <t>10.1016/j.margeo.2005.12.010</t>
  </si>
  <si>
    <t>037TC</t>
  </si>
  <si>
    <t>WOS:000237169000007</t>
  </si>
  <si>
    <t>Nicholls, KW; Abrahamsen, EP; Buck, JJH; Dodd, PA; Goldblatt, C; Griffiths, G; Heywood, KJ; Hughes, NE; Kaletzky, A; Lane-Serff, GF; McPhail, SD; Millard, NW; Oliver, KIC; Perrett, J; Price, MR; Pudsey, CJ; Saw, K; Stansfield, K; Stott, MJ; Wadhams, P; Webb, AT; Wilkinson, JP</t>
  </si>
  <si>
    <t>Measurements beneath an Antarctic ice shelf using an autonomous underwater vehicle</t>
  </si>
  <si>
    <t>BOTTOM WATER FORMATION; SEA; OCEAN; MODEL; THICKNESS; RONNE</t>
  </si>
  <si>
    <t>The cavities beneath Antarctic ice shelves are among the least studied regions of the World Ocean, yet they are sites of globally important water mass transformations. Here we report results from a mission beneath Fimbul Ice Shelf of an autonomous underwater vehicle. The data reveal a spatially complex oceanographic environment, an ice base with widely varying roughness, and a cavity periodically exposed to water with a temperature significantly above the surface freezing point. The results of this, the briefest of glimpses of conditions in this extraordinary environment, are already reforming our view of the topographic and oceanographic conditions beneath ice shelves, holding out great promises for future missions from similar platforms.</t>
  </si>
  <si>
    <t>British Antarctic Survey, Cambridge CB3 0ET, England; Univ Manchester, Sch Mech Aerosp &amp; Civil Engn, Manchester M60 1QD, Lancs, England; Univ E Anglia, Sch Environm Sci, Norwich NR4 7TJ, Norfolk, England; Natl Oceanog Ctr, Southampton SO14 3ZH, Hants, England; Scottish Soc Marine Sci, Dunstaffnage Lab, Oban PA37 1QA, Argyll, Scotland; Univ Cambridge, Ctr Math Sci, Dept Appl Math &amp; Theoret Phys, Cambridge CB3 0WA, England</t>
  </si>
  <si>
    <t>UK Research &amp; Innovation (UKRI); Natural Environment Research Council (NERC); NERC British Antarctic Survey; University of Manchester; University of East Anglia; NERC National Oceanography Centre; University of Cambridge</t>
  </si>
  <si>
    <t>British Antarctic Survey, Madingley Rd, Cambridge CB3 0ET, England.</t>
  </si>
  <si>
    <t>kwni@bas.ac.uk</t>
  </si>
  <si>
    <t>Abrahamsen, Povl/B-2140-2008; Lane-Serff, Gregory/AFP-1544-2022; Heywood, Karen/L-1757-2016</t>
  </si>
  <si>
    <t>Abrahamsen, Povl/0000-0001-5924-5350; Lane-Serff, Gregory/0000-0002-8296-254X; Buck, Justin/0000-0002-3587-4889; Saw, Kevin/0000-0001-7461-3430; Heywood, Karen/0000-0001-9859-0026</t>
  </si>
  <si>
    <t>Natural Environment Research Council [bas010014, NER/T/S/2000/00991, NER/T/S/2000/00985, soc010004, NER/T/S/2000/00993, NER/T/S/2000/01412] Funding Source: researchfish; NERC [soc010004, bas010014] Funding Source: UKRI</t>
  </si>
  <si>
    <t>APR 29</t>
  </si>
  <si>
    <t>L08612</t>
  </si>
  <si>
    <t>10.1029/2006GL025998</t>
  </si>
  <si>
    <t>040WO</t>
  </si>
  <si>
    <t>WOS:000237411900006</t>
  </si>
  <si>
    <t>Jones, AE; Anderson, PS; Wolff, EW; Turner, J; Rankin, AM; Colwell, SR</t>
  </si>
  <si>
    <t>A role for newly forming sea ice in springtime polar tropospheric ozone loss? Observational evidence from Halley station, Antarctica</t>
  </si>
  <si>
    <t>ATMOSPHERIC BOUNDARY-LAYER; VERTICAL-DISTRIBUTION; FROST FLOWERS; CHEMISTRY; SALT; DESTRUCTION; DEPLETION; MECHANISM; AEROSOL; WINTER</t>
  </si>
  <si>
    <t>Since March 2003, measurements of surface ozone have been made at the British Antarctic Survey Clean Air Sector Laboratory (CASLab) at Halley station in coastal Antarctica. Detailed measurements of boundary layer meteorology, as well as standard meteorological parameters, are also measured at the CASLab. Combining these data allows us to probe the transport pathway of air masses during ozone depletion events (ODEs). ODEs were observed at Halley on several occasions during Antarctic spring 2003. On some occasions, extremely rapid loss of ozone was observed (loss of 16 ppbv in 1 min on one occasion), which was associated with regional-scale transport. For each such event during 2003, the air mass originated in the southern Weddell Sea, an area of vigorous sea-ice production. On other occasions the development of the event and its recovery were strongly associated with the build-up and decline of a stable boundary layer. In these cases, air masses had had recent contact with a nearby open water lead where sea-ice production is known to occur. The data presented here are entirely consistent with the idea that halogens responsible for ozone loss are derived during new sea-ice formation from an associated surface such as brine slush or frost flowers.</t>
  </si>
  <si>
    <t>British Antarctic Survey, NERC, High Cross,Madingley Rd, Cambridge CB3 0ET, England.</t>
  </si>
  <si>
    <t>a.jones@bas.ac.uk</t>
  </si>
  <si>
    <t>Wolff, Eric W/D-7925-2014</t>
  </si>
  <si>
    <t>Wolff, Eric W/0000-0002-5914-8531; Turner, John/0000-0002-6111-5122</t>
  </si>
  <si>
    <t>D8</t>
  </si>
  <si>
    <t>D08306</t>
  </si>
  <si>
    <t>10.1029/2005JD006566</t>
  </si>
  <si>
    <t>040WS</t>
  </si>
  <si>
    <t>WOS:000237412300003</t>
  </si>
  <si>
    <t>Rodger, CJ; Clilverd, MA; Verronen, PT; Ulich, T; Jarvis, MJ; Turunen, E</t>
  </si>
  <si>
    <t>Dynamic geomagnetic rigidity cutoff variations during a solar proton event</t>
  </si>
  <si>
    <t>POLAR-CAP ABSORPTION; PARTICLE EVENTS; MAGNETIC-FIELD; MODEL; RIOMETER; DISTURBANCES; MESOSPHERE; ATMOSPHERE; MIDDLE; FLARE</t>
  </si>
  <si>
    <t>Solar proton events (SPE) are major, though infrequent, space weather phenomena that can produce hazardous effects in the near-Earth space environment. A detailed understanding of their effects depends upon knowledge of the dynamic rigidity cutoffs imposed by the changing total magnetic field. For the first time we investigate detailed comparisons between theoretical cutoff rigidities and ground-based measurements during the large geomagnetic disturbance of 4-10 November 2001. We make use of the imaging riometer (IRIS) at Halley, Antarctica, fortunately situated such that the rigidity cutoff sweeps back and forth across the instrument's field of view during the SPE period. The K-p-dependent geomagnetic rigidity cutoff energies are determined from satellite observations combined with previously reported particle-tracing results. We find that the predicted absorption levels show good agreement with those experimentally observed for low and middle levels of geomagnetic disturbance (K-p &lt; 5). However, during more disturbed geomagnetic conditions the cutoff modeling overestimates the stretching of the geomagnetic field, underestimating the rigidity cutoff energies, and hence leading to riometer absorption predictions that are too high. In very disturbed conditions (K-p approximate to 7-9) the rigidity energy cutoffs indicated by the IRIS observations appear to be equivalent to those predicted for K-p approximate to 6 by the particle-tracing approach. Examples of changing rigidity cutoff contours for increasing levels of geomagnetic disturbance are presented.</t>
  </si>
  <si>
    <t>Univ Otago, Dept Phys, Dunedin, New Zealand; British Antarctic Survey, Div Phys Sci, Cambridge CB3 0ET, England; Finnish Meteorol Inst, FIN-00101 Helsinki, Finland; Sodankyla Geophys Observ, FIN-99600 Sodankyla, Finland</t>
  </si>
  <si>
    <t>University of Otago; UK Research &amp; Innovation (UKRI); Natural Environment Research Council (NERC); NERC British Antarctic Survey; Finnish Meteorological Institute</t>
  </si>
  <si>
    <t>Univ Otago, Dept Phys, POB 56, Dunedin, New Zealand.</t>
  </si>
  <si>
    <t>crodger@physics.otago.ac.nz; m.clilverd@bas.ac.uk; pekka.verronen@fmi.fi; thu@sgo.fi; m.jarvis@bas.ac.uk; esa@sgo.fi</t>
  </si>
  <si>
    <t>Ulich, Thomas/G-3727-2018; Verronen, P. T./AIE-0203-2022; Rodger, Craig/A-1501-2011; Verronen, Pekka T/G-6658-2014</t>
  </si>
  <si>
    <t>Ulich, Thomas/0000-0001-8217-022X; Verronen, P. T./0000-0002-3479-9071; Rodger, Craig J./0000-0002-6770-2707; Turunen, Esa/0000-0001-8232-8744</t>
  </si>
  <si>
    <t>A4</t>
  </si>
  <si>
    <t>A04222</t>
  </si>
  <si>
    <t>10.1029/2005JA011395</t>
  </si>
  <si>
    <t>040XF</t>
  </si>
  <si>
    <t>WOS:000237413600005</t>
  </si>
  <si>
    <t>Bigler, M; Röthlisberger, R; Lambert, F; Stocker, TF; Wagenbach, D</t>
  </si>
  <si>
    <t>Aerosol deposited in East Antarctica over the last glacial cycle:: Detailed apportionment of continental and sea-salt contributions</t>
  </si>
  <si>
    <t>C ICE-CORE; DRONNING MAUD LAND; DOME-C; ISOTOPIC CONSTRAINTS; DUST; EPICA; PROVENANCE; GREENLAND; MAXIMUM; RECORDS</t>
  </si>
  <si>
    <t>The major ions, sodium (Na+), calcium (Ca2+), and chloride (Cl-), deposited in central Antarctica and preserved in ice cores originate from both marine and continental sources. They provide important proxy records, helping to reconstruct past climatic processes. However, it is difficult to clearly separate the individual contributions from the two sources, particularly the continental one during glacial periods. On the basis of Na+ and Ca2+ records at an unprecedented resolution from the European Project for Ice Coring in Antarctica (EPICA) Dome C ice core back to the penultimate glacial period, mean ion mass ratios were deduced for the continental and the sea-salt aerosol body over East Antarctica. The sea-salt ion mass ratios are in the range predicted for both wind-induced bubble bursting of breaking waves on the open ocean and sea ice brine-derived aerosols, respectively, thus allowing no clear decision on the contribution of sea ice to the central Antarctic sea-salt aerosol. The continental ion mass ratios point to a substantial contribution by halide aerosols, which is in agreement with the source properties in southern South America, although these ratios do not rule out the continental shelf exposed during glacial stages as an additional source. While during cold glacial periods continental sources accounted for more than 90% of the total Ca2+ input, this contribution was highly variable during the remaining glacial periods covarying with the Antarctic warm events. During the Holocene it was less than 50%, but it was significantly higher during the last interglacial period. The sea-salt aerosol contribution to the total Na+ input, which was mostly dominant and higher than 90%, was reduced to only two thirds during the last two glacial maxima and the period around 60 ka. Thus the glacial continental Na+ contribution appears to be more important than previously assumed, implying that Na+ records not corrected for continental Na+ do not represent a pure marine signal at the East Antarctic plateau during glacial times.</t>
  </si>
  <si>
    <t>Univ Bern, Inst Phys, CH-3012 Bern, Switzerland; British Antarctic Survey, NERC, Cambridge CB3 0ET, England; Heidelberg Univ, Inst Umweltphys, D-69120 Heidelberg, Germany</t>
  </si>
  <si>
    <t>University of Bern; UK Research &amp; Innovation (UKRI); Natural Environment Research Council (NERC); NERC British Antarctic Survey; Ruprecht Karls University Heidelberg</t>
  </si>
  <si>
    <t>Univ Copenhagen, Niels Bohr Inst, Juliane Maries Vej 30, DK-2100 Copenhagen, Denmark.</t>
  </si>
  <si>
    <t>bigler@gfy.ku.dk</t>
  </si>
  <si>
    <t>Bigler, Matthias/HTT-3872-2023; Bishnoi, Mamta/AAQ-8346-2021; Lambert, Fabrice/M-2003-2014; Stocker, Thomas F/B-1273-2013</t>
  </si>
  <si>
    <t>Bigler, Matthias/0000-0003-0184-4013; Bishnoi, Mamta/0000-0003-4987-0536; Lambert, Fabrice/0000-0002-2192-024X;</t>
  </si>
  <si>
    <t>NERC [bas010016] Funding Source: UKRI; Natural Environment Research Council [bas010016] Funding Source: researchfish</t>
  </si>
  <si>
    <t>APR 28</t>
  </si>
  <si>
    <t>D08205</t>
  </si>
  <si>
    <t>10.1029/2005JD006469</t>
  </si>
  <si>
    <t>040WR</t>
  </si>
  <si>
    <t>WOS:000237412200002</t>
  </si>
  <si>
    <t>Toggweiler, JR; Russell, JL; Carson, SR</t>
  </si>
  <si>
    <t>Midlatitude westerlies, atmospheric CO2, and climate change during the ice ages</t>
  </si>
  <si>
    <t>DEEP-WATER CIRCULATION; LAST GLACIAL MAXIMUM; ANTARCTIC SEA-ICE; SOUTHERN-OCEAN; CARBON-DIOXIDE; THERMOHALINE CIRCULATION; TROPOPAUSE HEIGHT; MARINE RECORD; DRAKE PASSAGE; HIGH-LATITUDE</t>
  </si>
  <si>
    <t>An idealized general circulation model is constructed of the ocean's deep circulation and CO2 system that explains some of the more puzzling features of glacial-interglacial CO2 cycles, including the tight correlation between atmospheric CO2 and Antarctic temperatures, the lead of Antarctic temperatures over CO2 at terminations, and the shift of the ocean's delta C-13 minimum from the North Pacific to the Atlantic sector of the Southern Ocean. These changes occur in the model during transitions between on and off states of the southern overturning circulation. We hypothesize that these transitions occur in nature through a positive feedback that involves the midlatitude westerly winds, the mean temperature of the atmosphere, and the overturning of southern deep water. Cold glacial climates seem to have equatorward shifted westerlies, which allow more respired CO2 to accumulate in the deep ocean. Warm climates like the present have poleward shifted westerlies that flush respired CO2 out of the deep ocean.</t>
  </si>
  <si>
    <t>Natl Ocean &amp; Atmospher Adm, Geophys Fluid Dynam Lab, Princeton, NJ 08542 USA; Princeton Univ, Atmospher &amp; Ocean Sci Program, Princeton, NJ 08544 USA</t>
  </si>
  <si>
    <t>National Oceanic Atmospheric Admin (NOAA) - USA; National Oceanic Atmospheric Admin (NOAA) - USA; Princeton University</t>
  </si>
  <si>
    <t>Natl Ocean &amp; Atmospher Adm, Geophys Fluid Dynam Lab, POB 308, Princeton, NJ 08542 USA.</t>
  </si>
  <si>
    <t>robbie.toggweiler@noaa.gov; jrussell@geo.arizona.edu; steve_carson@monet.prs.k12.nj.us</t>
  </si>
  <si>
    <t>Toggweiler, J. R./O-5883-2019</t>
  </si>
  <si>
    <t>Toggweiler, J. R./0000-0001-6345-5756; Russell, Joellen/0000-0001-9937-6056</t>
  </si>
  <si>
    <t>APR 27</t>
  </si>
  <si>
    <t>PA2005</t>
  </si>
  <si>
    <t>10.1029/2005PA001154</t>
  </si>
  <si>
    <t>040XG</t>
  </si>
  <si>
    <t>WOS:000237413700001</t>
  </si>
  <si>
    <t>Pattyn, F; Huyghe, A; De Brabander, S; De Smedt, B</t>
  </si>
  <si>
    <t>Role of transition zones in marine ice sheet dynamics</t>
  </si>
  <si>
    <t>FLOW; GLACIER; STREAM; SHELF; MODEL; ANTARCTICA; COLLAPSE; RETREAT; BASAL</t>
  </si>
  <si>
    <t>It has been suggested that rapid thinning of the West Antarctic ice sheet is due to increased melting under ice shelves caused by a gradual ocean warming (Shepherd et al., 2004). Payne et al. (2004) showed that such melting could lead to an acceleration of grounded ice flow. In this paper, we analyze the response of a marine ice sheet to different perturbations near the grounding line using a numerical ice sheet model that takes into account longitudinal stress coupling and grounding line migration at subgrid precision, based on a novel technique. Results show that stress transmission or longitudinal coupling across the grounding line plays a decisive role. The grounding line migration is a function of the length scale over which the basal conditions change from frozen to the bed to floating, the transition zone.'' We demonstrate that thinning of the ice shelf due to bottom melting has a negligible effect on the grounded ice mass. Only perturbations at the grounding line or reduction in buttressing of the ice shelf substantially thins the grounded ice sheet. Inclusion of lateral drag does not alter these results qualitatively. Marine ice sheets with large transition zones, such as ice streams, seem highly sensitive to such perturbations compared to ice sheets with small transition zones, such as an abrupt ice sheet/ice shelf junction.</t>
  </si>
  <si>
    <t>Univ Libre Bruxelles, Dept Sci Terre &amp; Environm, Lab Glaciol, B-1050 Brussels, Belgium; Vrije Univ Brussel, Dept Geog, B-1050 Brussels, Belgium</t>
  </si>
  <si>
    <t>Universite Libre de Bruxelles; Vrije Universiteit Brussel</t>
  </si>
  <si>
    <t>Univ Libre Bruxelles, Dept Sci Terre &amp; Environm, Lab Glaciol, CP 160-03,Ave FD Roosevelt 50, B-1050 Brussels, Belgium.</t>
  </si>
  <si>
    <t>fpattyn@ulb.ac.be</t>
  </si>
  <si>
    <t>Pattyn, Frank/AAA-9640-2019</t>
  </si>
  <si>
    <t>Pattyn, Frank/0000-0003-4805-5636</t>
  </si>
  <si>
    <t>APR 26</t>
  </si>
  <si>
    <t>F02004</t>
  </si>
  <si>
    <t>10.1029/2005JF000394</t>
  </si>
  <si>
    <t>040WU</t>
  </si>
  <si>
    <t>WOS:000237412500002</t>
  </si>
  <si>
    <t>Ohno, H; Igarashi, M; Hondoh, T</t>
  </si>
  <si>
    <t>Characteristics of salt inclusions in polar ice from Dome Fuji, East Antarctica</t>
  </si>
  <si>
    <t>SOLUBLE IMPURITIES; CORE</t>
  </si>
  <si>
    <t>We studied the depth profile of the chemical properties, number concentration and average diameter of micro-inclusions in Antarctic ice from Dome Fuji. Analysis of the data indicated that the distribution of inclusions was not significantly modified during ice sheet flow, although a main constituent Na2SO4 center dot 10H(2)O changed into another solid phase in the deep ice. In the chemical form, sodium sulfate and magnesium sulfate were dominant in the interglacial and early-glacial ice, but were not detected in the glacial-maximum ice. Instead, the sulfate in the glacial-maximum ice was mainly in the form of calcium sulfate. This is strong support for the hypothesis that the neutralization regime of acid aerosols in the atmosphere and snowpack dramatically changed from chemical reaction with sea salt to that with dust during glacial maxima.</t>
  </si>
  <si>
    <t>Hokkaido Univ, Inst Low Temp Sci, Sapporo, Hokkaido 0600819, Japan; Natl Inst Polar Res, Tokyo 1738515, Japan</t>
  </si>
  <si>
    <t>Hokkaido University; Research Organization of Information &amp; Systems (ROIS); National Institute of Polar Research (NIPR) - Japan</t>
  </si>
  <si>
    <t>Hokkaido Univ, Inst Low Temp Sci, Kita 19,Nishi 8, Sapporo, Hokkaido 0600819, Japan.</t>
  </si>
  <si>
    <t>samurai@pop.lowtem.hokudai.ac.jp</t>
  </si>
  <si>
    <t>HONDOH, Takeo/E-7551-2011</t>
  </si>
  <si>
    <t>HONDOH, Takeo/0000-0003-4129-022X</t>
  </si>
  <si>
    <t>APR 25</t>
  </si>
  <si>
    <t>L08501</t>
  </si>
  <si>
    <t>10.1029/2006GL025774</t>
  </si>
  <si>
    <t>040WK</t>
  </si>
  <si>
    <t>WOS:000237411400003</t>
  </si>
  <si>
    <t>Stockwell, RG; Taylor, MJ; Nielsen, K; Jarvis, MJ</t>
  </si>
  <si>
    <t>A novel joint space-wavenumber analysis of an unusual Antarctic gravity wave event</t>
  </si>
  <si>
    <t>MESOSPHERIC BORE; OH; REGION</t>
  </si>
  <si>
    <t>As part of a collaborative research program between British Antarctic Survey, U. K. and Utah State University, USA, all sky airglow images were recorded at Halley Station Antarctica (75.5 S, 26.7 W). An unusual mesospheric gravity wave event was observed in the OH nightglow ( nominal height approximate to 87 km) over a period of approximate to 3 hours on the 27 - 28 May, 2001. The characteristics of the bore wave event were determined by application of the one dimensional spatial S-Transform analysis. This is the first time such analysis has been performed on airglow data. By employing these local spatial spectral analysis, the evolution of the wave packet can be measured. The wave parameters ( phase velocity, wave number, wavelength, period) were inferred from as little as 2 images ( separated in time), which is a powerful ability when a data set of images is irregularly sampled in time, as is often the case in airglow imager studies. Several interesting and novel results were obtained regarding the dynamic evolution of the wave. The horizontal wavelength of the bore wave packet was seen to decrease as the packet evolved. Coincident with this observation, the horizontal phase speed decreased, with an associated decrease in wave packet amplitude.</t>
  </si>
  <si>
    <t>NW Res Associates Inc, Colorado Res Associates Div, Boulder, CO 80301 USA; Utah State Univ, Ctr Atmospher &amp; Space Sci, Logan, UT 84322 USA; Utah State Univ, Dept Phys, Logan, UT 84322 USA; British Antarctic Survey, Cambridge CB3 0ET, England</t>
  </si>
  <si>
    <t>NorthWest Research Associates; Utah System of Higher Education; Utah State University; Utah System of Higher Education; Utah State University; UK Research &amp; Innovation (UKRI); Natural Environment Research Council (NERC); NERC British Antarctic Survey</t>
  </si>
  <si>
    <t>NW Res Associates Inc, Colorado Res Associates Div, 3380 Mitchell Lane, Boulder, CO 80301 USA.</t>
  </si>
  <si>
    <t>stockwell@co-ra.com</t>
  </si>
  <si>
    <t>Natural Environment Research Council [bas010022] Funding Source: researchfish; NERC [bas010022] Funding Source: UKRI</t>
  </si>
  <si>
    <t>APR 22</t>
  </si>
  <si>
    <t>L08805</t>
  </si>
  <si>
    <t>10.1029/2005GL025660</t>
  </si>
  <si>
    <t>039LX</t>
  </si>
  <si>
    <t>WOS:000237308300006</t>
  </si>
  <si>
    <t>Watson, C; Tregoning, P; Coleman, R</t>
  </si>
  <si>
    <t>Impact of solid Earth tide models on GPS coordinate and tropospheric time series</t>
  </si>
  <si>
    <t>DISPLACEMENTS</t>
  </si>
  <si>
    <t>Unmodelled sub-daily periodic signals can propagate into time series of daily geodetic coordinates and tropospheric estimates at various different frequencies. Geophysical interpretations of geodetic products, particularly at seasonal timescales, can therefore be affected by poorly modelled signals in the geodetic analysis. In this study, we use two solid Earth tide models ( IERS2003 and IERS1992) and analyses of global GPS data to demonstrate how this process occurs. Aliased annual and semi-annual signals are evident in the vertical component of the GPS time series, with the amplitudes increasing as a function of latitude up to approximately 2.0 and 0.4 mm, respectively. Tropospheric zenith delay estimates show differences at the 2 mm level, with a dominant diurnal frequency. These results have significant implications in regard to the geophysical interpretation of GPS time series computed using the outdated IERS1992 model and, more generally, for any mis- or unmodelled periodic signals that affect geodetic sites.</t>
  </si>
  <si>
    <t>Univ Tasmania, Sch Geog &amp; Environm Studies, Ctr Spatial Informat Sci, Hobart, Tas 7001, Australia; Australian Natl Univ, Res Sch Earth Sci, Canberra, ACT 0200, Australia; CSIRO Marine &amp; Atmospher Res, Hobart, Tas, Australia; Antarctic Climate &amp; Ecosyst Cooperat Res Ctr, Hobart, Tas, Australia</t>
  </si>
  <si>
    <t>University of Tasmania; Australian National University; Commonwealth Scientific &amp; Industrial Research Organisation (CSIRO); Antarctic Climate &amp; Ecosystems Cooperative Research Centre (ACE CRC)</t>
  </si>
  <si>
    <t>Watson, C (corresponding author), Univ Tasmania, Sch Geog &amp; Environm Studies, Ctr Spatial Informat Sci, Private Bag 76, Hobart, Tas 7001, Australia.</t>
  </si>
  <si>
    <t>cwatson@utas.edu.au</t>
  </si>
  <si>
    <t>Tregoning, Paul/D-9283-2013; Tregoning, Paul/N-4842-2018; Watson, Christopher S/D-4707-2013; Coleman, Richard/H-4425-2012</t>
  </si>
  <si>
    <t>Tregoning, Paul/0000-0001-7192-5391; Tregoning, Paul/0000-0001-7192-5391; Watson, Christopher/0000-0002-7464-4592; Coleman, Richard/0000-0002-9731-7498</t>
  </si>
  <si>
    <t>L08306</t>
  </si>
  <si>
    <t>10.1029/2005GL025538</t>
  </si>
  <si>
    <t>WOS:000237308300004</t>
  </si>
  <si>
    <t>Scher, HD; Martin, EE</t>
  </si>
  <si>
    <t>Timing and climatic consequences of the opening of Drake Passage</t>
  </si>
  <si>
    <t>FOSSIL FISH TEETH; SOUTHERN-OCEAN; EVOLUTION; EOCENE; CIRCULATION; ND; GLACIATION; ISOTOPES; SEAWATER; INPUTS</t>
  </si>
  <si>
    <t>Age estimates for the opening of Drake Passage range from 49 to 17 million years ago (Ma), complicating interpretations of the relationship between ocean circulation and global cooling. Secular variations of neodymium isotope ratios at Agulhas Ridge (Southern Ocean, Atlantic sector) suggest an influx of shallow Pacific seawater approximately 41 Ma. The timing of this connection and the subsequent deepening of the passage coincide with increased biological productivity and abrupt climate reversals. Circulation/productivity linkages are proposed as a mechanism for declining atmospheric carbon dioxide. These results also indicate that Drake Passage opened before the Tasmanian Gateway, implying the late Eocene establishment of a complete circum-Antarctic pathway.</t>
  </si>
  <si>
    <t>Univ Florida, Dept Geol Sci, Gainesville, FL 32611 USA</t>
  </si>
  <si>
    <t>State University System of Florida; University of Florida</t>
  </si>
  <si>
    <t>Univ Rochester, Dept Earth &amp; Environm Sci, 601 Elmwood Ave, Rochester, NY 14627 USA.</t>
  </si>
  <si>
    <t>howie@earth.rochester.edu</t>
  </si>
  <si>
    <t>Scher, Howie/C-4927-2013</t>
  </si>
  <si>
    <t>APR 21</t>
  </si>
  <si>
    <t>10.1126/science.1120044</t>
  </si>
  <si>
    <t>034OZ</t>
  </si>
  <si>
    <t>WOS:000236941800047</t>
  </si>
  <si>
    <t>Höpfner, M; Luo, BP; Massoli, P; Cairo, F; Spang, R; Snels, M; Di Donfrancesco, G; Stiller, G; von Clarmann, T; Fischer, H; Biermann, U</t>
  </si>
  <si>
    <t>Spectroscopic evidence for NAT, STS, and ice in MIPAS infrared limb emission measurements of polar stratospheric clouds</t>
  </si>
  <si>
    <t>NITRIC-ACID TRIHYDRATE; AIRBORNE LIDAR OBSERVATIONS; COMPLEX REFRACTIVE-INDEXES; OPTICAL-CONSTANTS; CIRRUS CLOUDS; AEROSOL SPECTROSCOPY; FOURIER-TRANSFORM; VAPOR-PRESSURES; SPECTRA; HNO3</t>
  </si>
  <si>
    <t>We have analyzed mid-infrared limb-emission measurements of polar stratospheric clouds ( PSCs) by the Michelson Interferometer for Passive Atmospheric Sounding ( MIPAS) during the Antarctic winter 2003 with respect to PSC composition. Coincident Lidar observations from McMurdo were used for comparison with PSC types 1a, 1b and 2. Application of new refractive index data of beta-NAT have allowed to accurately simulate the prominent spectral band at 820 cm(-1) observed by MIPAS at the location where the Lidar instrument observed type 1a PSCs. Broadband spectral fits covering the range from 780 to 960 cm(-1) and from 1220 to 1490 cm(-1) showed best agreement with the MIPAS measurements when spectroscopic data of NAT were used to simulate the MIPAS spectra. MIPAS measurements collocated with Lidar observations of Type 1b and Type 2 PSCs could only be reproduced by assuming a composition of supercooled ternary H2SO4/HNO3/H2O solution ( STS) and of ice, respectively. Particle radius and number density profiles derived from MIPAS were generally consistent with the Lidar observations. Only in the case of ice clouds, PSC volumes are partly underestimated by MIPAS due to large cloud optical thickness in the limb-direction. A comparison of MIPAS cloud composition and Lidar PSC-type determination based on all available MIPAS-Lidar coincident measurements revealed good agreement between PSC-types 1a, 1b and 2, and NAT, STS and ice, respectively. We could not find spectroscopic evidence for the presence of nitric acid dihydrate ( NAD) from MIPAS observations of PSCs over Antarctica in 2003.</t>
  </si>
  <si>
    <t>Forschungszentrum Karlsruhe, Inst Meteorol &amp; Klimaforsch, D-76021 Karlsruhe, Germany; ETH Honggerberg, Inst Atmosphare &amp; Klima, CH-8093 Zurich, Switzerland; CNR, Ist Sci Atmosfera &amp; Clima, Rome, Italy; Forschungszentrum Julich, Inst Chem &amp; Dynam Geosphare, Julich, Germany; Ente Nuove Tecnol Energie &amp; Ambiente, Rome, Italy; Max Planck Inst Chem, Abt Atmospharenchem, D-55128 Mainz, Germany</t>
  </si>
  <si>
    <t>Helmholtz Association; Karlsruhe Institute of Technology; Swiss Federal Institutes of Technology Domain; ETH Zurich; Consiglio Nazionale delle Ricerche (CNR); Istituto di Scienze dell'Atmosfera e del Clima (ISAC-CNR); Helmholtz Association; Research Center Julich; Max Planck Society</t>
  </si>
  <si>
    <t>Forschungszentrum Karlsruhe, Inst Meteorol &amp; Klimaforsch, D-76021 Karlsruhe, Germany.</t>
  </si>
  <si>
    <t>michael.hoepfner@imk.fzk.de</t>
  </si>
  <si>
    <t>Stiller, Gabriele P./A-7340-2013; von Clarmann, Thomas/A-7287-2013; cairo, francesco/C-7460-2015; Spang, Reinhold/A-2738-2013; Snels, Marcel/J-2324-2012; Hopfner, Michael/A-7255-2013</t>
  </si>
  <si>
    <t>Stiller, Gabriele P./0000-0003-2883-6873; cairo, francesco/0000-0002-2886-2601; von Clarmann, Thomas/0000-0003-2219-3379; Spang, Reinhold/0000-0002-2483-5761; Luo, Beiping/0000-0003-1629-881X; Snels, Marcel/0000-0002-3025-5237; Hopfner, Michael/0000-0002-4174-9531</t>
  </si>
  <si>
    <t>APR 20</t>
  </si>
  <si>
    <t>034SE</t>
  </si>
  <si>
    <t>WOS:000236950100001</t>
  </si>
  <si>
    <t>Höpfner, M; Larsen, N; Spang, R; Luo, BP; Ma, J; Svendsen, SH; Eckermann, SD; Knudsen, B; Massoli, P; Cairo, F; Stiller, G; Von Clarmann, T; Fischer, H</t>
  </si>
  <si>
    <t>MIPAS detects Antarctic stratospheric belt of NAT PSCs caused by mountain waves</t>
  </si>
  <si>
    <t>LIMB EMISSION-SPECTRA; ACID TRIHYDRATE NAT; SOLVE/THESEO 2000; WINTER 2002/2003; CLOUD FORMATION; GRAVITY-WAVES; EXPLAIN DENITRIFICATION; HOMOGENEOUS NUCLEATION; ARCTIC STRATOSPHERE; LIDAR MEASUREMENTS</t>
  </si>
  <si>
    <t>Space borne infrared limb emission measurements by the Michelson Interferometer for Passive Atmospheric Sounding ( MIPAS) reveal the formation of a belt of polar stratospheric clouds ( PSCs) of nitric acid trihydrate ( NAT) particles over Antarctica in mid-June 2003. By mesoscale microphysical simulations we show that this sudden onset of NAT PSCs was caused by heterogeneous nucleation on ice in the cooling phases of large-amplitude stratospheric mountain waves over the Antarctic Peninsula and the Ellsworth Mountains. MIPAS observations of PSCs before this event show no indication for the presence of NAT clouds with volume densities larger than about 0.3 mu m(3)/cm(3) and radii smaller than 3 mu m, but are consistent with supercooled droplets of ternary H2SO4/HNO3/H2O solution ( STS). Simulations indicate that homogeneous surface nucleation rates have to be reduced by three orders of magnitude to comply with the observations.</t>
  </si>
  <si>
    <t>Forschungszentrum Karlsruhe, Inst Meteorol &amp; Klimaforsch, D-76021 Karlsruhe, Germany; Danish Meteorol Inst, Middle Atmosphere Res Div, Copenhagen, Denmark; Forschungszentrum Julich, Inst Chem &amp; Dynam Geosphare, Julich, Germany; ETH Honggerberg, Inst Atmosphare &amp; Klima, CH-8093 Zurich, Switzerland; Computat Phys Inc, Springfield, VA USA; USN, EO Hulburt Ctr Space Res, Res Lab, Washington, DC 20375 USA; CNR, Ist Sci Atmosfera &amp; Clima, Rome, Italy</t>
  </si>
  <si>
    <t>Helmholtz Association; Karlsruhe Institute of Technology; Danish Meteorological Institute DMI; Helmholtz Association; Research Center Julich; Swiss Federal Institutes of Technology Domain; ETH Zurich; Computational Physics Inc; United States Department of Defense; United States Navy; Naval Research Laboratory; Consiglio Nazionale delle Ricerche (CNR); Istituto di Scienze dell'Atmosfera e del Clima (ISAC-CNR)</t>
  </si>
  <si>
    <t>von Clarmann, Thomas/A-7287-2013; Larsen, Niels/G-3145-2014; Stiller, Gabriele P./A-7340-2013; Hopfner, Michael/A-7255-2013; Spang, Reinhold/A-2738-2013; cairo, francesco/C-7460-2015</t>
  </si>
  <si>
    <t>Larsen, Niels/0000-0002-1582-661X; Stiller, Gabriele P./0000-0003-2883-6873; Hopfner, Michael/0000-0002-4174-9531; Spang, Reinhold/0000-0002-2483-5761; Svendsen, Synne Hoyer/0009-0005-6911-6890; Luo, Beiping/0000-0003-1629-881X; cairo, francesco/0000-0002-2886-2601</t>
  </si>
  <si>
    <t>WOS:000236950100002</t>
  </si>
  <si>
    <t>Giles, J</t>
  </si>
  <si>
    <t>Lakes linked beneath Antarctic ice</t>
  </si>
  <si>
    <t>10.1038/440977a</t>
  </si>
  <si>
    <t>034DL</t>
  </si>
  <si>
    <t>WOS:000236906000006</t>
  </si>
  <si>
    <t>Wingham, DJ; Siegert, MJ; Shepherd, A; Muir, AS</t>
  </si>
  <si>
    <t>Rapid discharge connects Antarctic subglacial lakes</t>
  </si>
  <si>
    <t>ICE-SHEET; EAST ANTARCTICA; GLACIER; VOSTOK; MELTWATER; BENEATH; SYSTEM</t>
  </si>
  <si>
    <t>The existence of many subglacial lakes(1) provides clear evidence for the widespread presence of water beneath the East Antarctic ice sheet, but the hydrology beneath this ice mass is poorly understood(2). Such knowledge is critical to understanding ice flow, basal water transfer to the ice margin, glacial landform development and subglacial lake habitats. Here we present ice-sheet surface elevation changes in central East Antarctica that we interpret to represent rapid discharge from a subglacial lake. Our observations indicate that during a period of 16 months, 1.8 km(3) of water was transferred over 290 km to at least two other subglacial lakes. While viscous deformation of the ice roof above may moderate discharge, the intrinsic instability of such a system(3) suggests that discharge events are a common mode of basal drainage(4). If large lakes, such as Lake Vostok or Lake Concordia(1), are pressurizing, it is possible that substantial discharges could reach the coast(5,6). Our observations conflict with expectations that subglacial lakes have long residence times and slow circulations(2,7,8), and we suggest that entire subglacial drainage basins may be flushed periodically. The rapid transfer of water between lakes would result in large-scale solute and microbe relocation, and drainage system contamination from in situ exploration is, therefore, a distinct risk.</t>
  </si>
  <si>
    <t>UCL, Dept Space &amp; Climate Phys, Ctr Polar Observat &amp; Modelling, London WC1E 6BT, England; Univ Bristol, Sch Geog Sci, Bristol Glaciol Ctr, Ctr Polar Observat &amp; Modelling, Bristol BS8 1SS, Avon, England; Univ Cambridge, Scott Polar Res Inst, Ctr Polar Observat &amp; Modelling, Cambridge CB2 1ER, England</t>
  </si>
  <si>
    <t>University of London; University College London; University of Bristol; University of Cambridge</t>
  </si>
  <si>
    <t>Wingham, DJ (corresponding author), UCL, Dept Space &amp; Climate Phys, Ctr Polar Observat &amp; Modelling, Pearson Bldg,Gower St, London WC1E 6BT, England.</t>
  </si>
  <si>
    <t>djw@cpom.ucl.ac.uk; m.j.siegert@bristol.ac.uk</t>
  </si>
  <si>
    <t>Siegert, Martin/M-9939-2019; Siegert, Martin J/A-3826-2008</t>
  </si>
  <si>
    <t>Siegert, Martin/0000-0002-0090-4806; Siegert, Martin J/0000-0002-0090-4806; Muir, Alan/0000-0001-7754-088X; Shepherd, Andrew/0000-0002-4914-1299</t>
  </si>
  <si>
    <t>10.1038/nature04660</t>
  </si>
  <si>
    <t>WOS:000236906000032</t>
  </si>
  <si>
    <t>Ohkouchi, N; Eglinton, TI</t>
  </si>
  <si>
    <t>Radiocarbon constraint on relict organic carbon contributions to Ross Sea sediments</t>
  </si>
  <si>
    <t>Ross Sea; radiocarbon; sediment; organic carbon; marine sediments : processes and transport; stable isotope geochemistry; sedimentary geochemistry; organic and biogenic geochemistry; instruments and techniques</t>
  </si>
  <si>
    <t>LAST GLACIAL MAXIMUM; ANTARCTIC ICE-SHEET; PHYTOPLANKTON BLOOM; PRIMARY PRODUCTIVITY; MARINE-SEDIMENTS; BOMB RADIOCARBON; LATE WISCONSIN; WATER-COLUMN; FATTY-ACIDS; FRACTIONATION</t>
  </si>
  <si>
    <t>[ 1] We estimate the relative contribution of relict organic matter to the acid-insoluble organic carbon (AIOC) fraction of surface sediments from Ross Sea, Antarctica, on the basis of C-14 abundance. The bulk isotopic characteristics of AIOC can largely be explained by simple two-source models of modern and relict organic carbon, when samples are grouped according to two geographical regions, namely, southwestern and south central Ross Sea. This spatial variability in relict organic carbon could be controlled by proximity to the edge of the Ross Ice Shelf and ice drainage areas. Radiocarbon abundance in the AIOC is potentially an excellent tool to estimate the contribution of relict organic carbon in the Antarctic margin sediments.</t>
  </si>
  <si>
    <t>Japan Agcy Marine Earth Sci &amp; Technol, Inst Res Earth Evolut, Yokosuka, Kanagawa 2370061, Japan; Woods Hole Oceanog Inst, Dept Marine Chem &amp; Geochem, Woods Hole, MA 02543 USA</t>
  </si>
  <si>
    <t>Japan Agency for Marine-Earth Science &amp; Technology (JAMSTEC); Woods Hole Oceanographic Institution</t>
  </si>
  <si>
    <t>Japan Agcy Marine Earth Sci &amp; Technol, Inst Res Earth Evolut, 2-15 Natsushima Cho, Yokosuka, Kanagawa 2370061, Japan.</t>
  </si>
  <si>
    <t>Ohkouchi, Naohiko/B-2071-2008</t>
  </si>
  <si>
    <t>Ohkouchi, Naohiko/0000-0002-6355-7469; Eglinton, Timothy/0000-0001-5060-2155</t>
  </si>
  <si>
    <t>APR 19</t>
  </si>
  <si>
    <t>Q04012</t>
  </si>
  <si>
    <t>10.1029/2005GC001097</t>
  </si>
  <si>
    <t>039LO</t>
  </si>
  <si>
    <t>WOS:000237307300002</t>
  </si>
  <si>
    <t>De Vos, D; Collins, T; Nerinckx, W; Savvides, SN; Claeyssens, M; Gerday, C; Feller, G; Van Beeumen, J</t>
  </si>
  <si>
    <t>Oligosaccharide binding in family 8 glycosidases:: Crystal structures of active-site mutants of the β-1,4-xylanase pXyl from Pseudoaltermonas haloplanktis TAH3a in complex with substrate and product</t>
  </si>
  <si>
    <t>BIOCHEMISTRY</t>
  </si>
  <si>
    <t>ANGSTROM RESOLUTION; XYLANASE; HYDROLASES; CLASSIFICATION; SPECIFICITY; MECHANISMS; MALTOPORIN; DOMAIN</t>
  </si>
  <si>
    <t>The structures of inactive mutants D144A and E78Q of the glycoside hydrolase family 8 (GH-8) endo-beta-1,4-D-Xylanase (pXyl) from the Antarctic bacterium Pseudoalteromonas haloplanktis TAH3a in complex with its substrate xylopentaose (at 1.95 angstrom resolution) and product xylotriose (at 1.9 angstrom resolution) have been determined by X-ray crystallography. A detailed comparative analysis of these with the apoenzyme and with other GH-8 structures indicates an induced fit mechanism upon ligand binding whereby a number of conformational changes and, in particular, a repositioning of the proton donor into a more catalytically competent position Occurs. This has also allowed for the description of protein-ligand interactions in this enzyme and for the demarcation of subsites -3 to +3. An in-depth analysis of each of these subsites gives an insight into the structure-function relationship of this enzyme and the basis of xylose/glucose discrimination in family 8 glycoside hydrolases. Furthermore, the structure of the -1/+1 subsite spanning complex reveals that the substrate is distorted from its ground state conformation. Indeed, structural analysis and in silico docking Studies indicate that substrate hydrolysis in GH-8 members is preceded by a conformational change, away from the substrate ground-state chair conformation, to a pretransition state local minimum S-2(O) conformation.</t>
  </si>
  <si>
    <t>Univ Ghent, Lab Eiwitbiochem &amp; Eiwitengn, B-9000 Ghent, Belgium; Univ Liege, Inst Chem B6, Biochem Lab, B-4000 Liege, Belgium; Univ Ghent, Dept Biochem Physiol &amp; Microbiol, Lab Glycobiol, B-9000 Ghent, Belgium</t>
  </si>
  <si>
    <t>Ghent University; University of Liege; Ghent University</t>
  </si>
  <si>
    <t>Univ Ghent, Lab Eiwitbiochem &amp; Eiwitengn, KL Ledeganckstr 35, B-9000 Ghent, Belgium.</t>
  </si>
  <si>
    <t>jozef.vanbeeumen@ugent.be</t>
  </si>
  <si>
    <t>Savvides, Savvas/E-1938-2011; Collins, Tony/A-3484-2012</t>
  </si>
  <si>
    <t>Collins, Tony/0000-0002-4167-973X</t>
  </si>
  <si>
    <t>0006-2960</t>
  </si>
  <si>
    <t>BIOCHEMISTRY-US</t>
  </si>
  <si>
    <t>Biochemistry</t>
  </si>
  <si>
    <t>APR 18</t>
  </si>
  <si>
    <t>10.1021/bi052193e</t>
  </si>
  <si>
    <t>034TE</t>
  </si>
  <si>
    <t>WOS:000236952700010</t>
  </si>
  <si>
    <t>Russell, A; McGregor, GR; Marshall, GJ</t>
  </si>
  <si>
    <t>340 years of atmospheric circulation characteristics reconstructed from an eastern Antarctic Peninsula ice core</t>
  </si>
  <si>
    <t>SOUTHERN-HEMISPHERE; CLIMATE-CHANGE; VARIABILITY; REANALYSES; TRENDS</t>
  </si>
  <si>
    <t>Precipitation delivery mechanisms for Dolleman Island (DI), located off the east coast of the Antarctic Peninsula, are investigated using reanalysis and back trajectory data. The Southern Annular Mode (SAM) and ENSO are both shown to influence precipitation delivery and event size. Precipitation delivery variability is compared against the interannual variation of chemical data from two DI ice cores. Nitrate concentration in the cores is strongly linked with the ratio of easterly to westerly back trajectories arriving at DI, as described by a Cross-Peninsula Index (CPI) defined in this paper. This CPI is used subsequently to reconstruct the atmospheric circulation characteristics for the 340-year ice core record. The analysis highlights a period of increased easterlies during 1720 - 1780 and an increase in westerlies for 1950 - 1980, the latter concomitant with a positive SAM trend and western Peninsula warming. The reconstruction also reveals periods when polynyas may have been present in the Weddell Sea.</t>
  </si>
  <si>
    <t>Univ Birmingham, Sch Geog Earth &amp; Environm Sci, Birmingham, W Midlands, England; British Antarctic Survey, NERC, Cambridge CB3 0ET, England</t>
  </si>
  <si>
    <t>Russell, A (corresponding author), Univ Manchester, Sch Earth Atmospher &amp; Environm Sci, Manchester M60 1QD, Lancs, England.</t>
  </si>
  <si>
    <t>andrew.russell-2@manchester.ac.uk</t>
  </si>
  <si>
    <t>; Russell, Andrew/B-2260-2008</t>
  </si>
  <si>
    <t>McGregor, Glenn/0000-0001-8487-2081; Russell, Andrew/0000-0001-7120-8499</t>
  </si>
  <si>
    <t>L08702</t>
  </si>
  <si>
    <t>10.1029/2006GL025899</t>
  </si>
  <si>
    <t>039LR</t>
  </si>
  <si>
    <t>WOS:000237307700005</t>
  </si>
  <si>
    <t>Antarctic birds breed later in response to climate change</t>
  </si>
  <si>
    <t>Antarctica; phenology; seabirds; sea ice</t>
  </si>
  <si>
    <t>SEA-ICE EXTENT; SOUTHERN-OCEAN; SEABIRD POPULATIONS; DECLINE; ADELIE; KRILL; LAND</t>
  </si>
  <si>
    <t>In the northern hemisphere, there is compelling evidence for climate-related advances of spring events, but no such long-term biological time series exist for the southern hemisphere. We have studied a unique data set of dates of first arrival and laying of first eggs over a 55-year period for the entire community of Antarctic seabirds in East Antarctica. The records over this long period show a general unexpected tendency toward later arrival and laying, an inverse trend to those observed in the northern hemisphere. Overall, species now arrive at their colonies 9.1 days later, on average, and lay eggs an average of 2.1 days later than in the early 1950s. Furthermore, these delays are linked to a decrease in sea ice extent that has occurred in eastern Antarctica, which underlies the contrasted effects of global climate change on species in Antarctica.</t>
  </si>
  <si>
    <t>Ctr Natl Rech Sci, Ctr Etud Biol Chize, Unite Propre Rech 1934, F-79360 Villiers En Bois, France</t>
  </si>
  <si>
    <t>Barbraud, C (corresponding author), Ctr Natl Rech Sci, Ctr Etud Biol Chize, Unite Propre Rech 1934, F-79360 Villiers En Bois, France.</t>
  </si>
  <si>
    <t>Weimerskirch, Henri/F-5562-2013; Weimerskirch, Henri/K-7306-2019; Barbraud, Christophe/A-5870-2012</t>
  </si>
  <si>
    <t>10.1073/pnas.0510397103</t>
  </si>
  <si>
    <t>035KF</t>
  </si>
  <si>
    <t>WOS:000236999000035</t>
  </si>
  <si>
    <t>Reading, AM</t>
  </si>
  <si>
    <t>The seismic structure of precambrian and early palaeozoic terranes in the Lambert Glacier region, East Antarctica</t>
  </si>
  <si>
    <t>Lambert; East Antarctica; seismic structure; receiver functions; terranes</t>
  </si>
  <si>
    <t>PRINCE-CHARLES MOUNTAINS; UPPER-MANTLE STRUCTURE; PAN-AFRICAN; YILGARN CRATON; GONDWANA; DEFORMATION; ALGORITHM; EVOLUTION; INVERSION; CRUSTAL</t>
  </si>
  <si>
    <t>The Lambert Glacier region of East Antarctica encompasses the proposed boundary between three of the ancient continents that formed East Gondwana: Indo-Antarctica, the central East Antarctic Craton and a proposed extension of the Pinjarra Orogen of Australia. The only area of extensive rock exposure in central East Antarctica, it uniquely allows the seismic structure to be linked to surface geology. New broadband seismic stations were established at the remote sites of the SSCUA deployment, which ran between the austral summers of 2002/2003 and 2004/2005. Recorded energy from distant earthquakes is used to calculate receiver function waveforms that are then modelled to deduce the seismic structure of the upper lithosphere. The results of this study are two-fold. Firstly, seismic structure and crustal depth are determined beneath the Lambert Glacier region providing constraints on its tectonic evolution. A significant contrast in crustal depth is found between the Northern and Southern Prince Charles Mountains that may indicate the location of a major tectonic boundary. Secondly, baseline seismic receiver structures are established for the Rayner, Fisher and Lambert terranes that may be traced beneath the Antarctic ice sheet in the future.(c) 2006 Elsevier B.V. All rights reserved.</t>
  </si>
  <si>
    <t>Australian Natl Univ, Res Sch Earth Sci, Canberra, ACT 0200, Australia</t>
  </si>
  <si>
    <t>Australian Natl Univ, Res Sch Earth Sci, Canberra, ACT 0200, Australia.</t>
  </si>
  <si>
    <t>anya@rses.anu.edu.au</t>
  </si>
  <si>
    <t>Reading, Anya M/E-6728-2012</t>
  </si>
  <si>
    <t>Reading, Anya M/0000-0002-9316-7605</t>
  </si>
  <si>
    <t>APR 15</t>
  </si>
  <si>
    <t>10.1016/j.epsl.2006.01.031</t>
  </si>
  <si>
    <t>035HL</t>
  </si>
  <si>
    <t>WOS:000236991300004</t>
  </si>
  <si>
    <t>Bonneville, A; Dosso, L; Hildenbrand, A</t>
  </si>
  <si>
    <t>Temporal evolution and geochemical variability of the South Pacific superplume activity</t>
  </si>
  <si>
    <t>mantle plume; South Pacific Superswell; geochemical sources; seamount ages; Cook-Austral; hotspot</t>
  </si>
  <si>
    <t>AUSTRALIAN-ANTARCTIC DISCORDANCE; MIDOCEAN RIDGE BASALT; SR-ISOTOPIC EVIDENCE; TRACE-ELEMENT; FRENCH-POLYNESIA; MANTLE PLUMES; MELTING PROCESSES; SPREADING RIDGE; OCEANIC BASALTS; ISLAND BASALTS</t>
  </si>
  <si>
    <t>We are presenting a new set of K/Ar ages and geochemical analyses obtained on deep-sea samples dredged in 1999 on several seamounts of the Cook-Austral volcanic chains in the Pacific Ocean. The new geochemical results, together with published data on island samples, allow us to reveal a time evolution of the mantle source composition as well as an increase in geochemical variability of the superplume responsible for the regional South Pacific Superswell. Three identified volcanic stages of 58-40, 33-20 and 20-0 Ma are identified with signatures of mantle reservoir composition varying from close to C to N-MORB-types and C/HFMU-type, respectively. Using a geodynamic reconstruction for the most recent volcanic period, from 20 Ma to present, three hotspot tracks are needed to explain the several volcanic episodes observed within the limited geographical area of the central part of the Cook-Austral chains. At the scale of a single volcano, different magmatic phases can also be identified with different ages and geochemical signatures, emphasizing the importance of structural control, either crustal or lithospheric, in the location of the magmatic outputs. These observations, taken together, are in good agreement with a model where each hotspot could sample a small volume of the large very heterogeneous plume responsible for the regional South Pacific Superswell. (c) 2006 Elsevier B.V. All rights reserved.</t>
  </si>
  <si>
    <t>Inst Phys Globe Paris 4, F-75252 Paris 05, France; IFREMER, CNRS, UMR 6538, F-29280 Plouzane, France; Univ Paris 11, CNRS, Lab Geochronol, F-91405 Orsay, France</t>
  </si>
  <si>
    <t>Universite Paris Cite; Sorbonne Universite; Centre National de la Recherche Scientifique (CNRS); CNRS - National Institute for Earth Sciences &amp; Astronomy (INSU); Universite de Bretagne Occidentale; Ifremer; Universite Paris Saclay; Centre National de la Recherche Scientifique (CNRS)</t>
  </si>
  <si>
    <t>Bonneville, A (corresponding author), Inst Phys Globe Paris 4, 4 Pl Jussieu, F-75252 Paris 05, France.</t>
  </si>
  <si>
    <t>bonneville@ipgp.jussieu.fr</t>
  </si>
  <si>
    <t>Dosso, Laure/A-9520-2009; Hildenbrand, Anthony/F-4892-2010; Bonneville, Alain/D-7647-2013</t>
  </si>
  <si>
    <t>Hildenbrand, Anthony/0000-0002-1406-7252; Bonneville, Alain/0000-0003-1527-1578</t>
  </si>
  <si>
    <t>10.1016/j.epsl.2005.12.037</t>
  </si>
  <si>
    <t>WOS:000236991300017</t>
  </si>
  <si>
    <t>Shepherd, T; Bamber, JL; Ferraccioli, F</t>
  </si>
  <si>
    <t>Subglacial geology in Coats Land, East Antarctica, revealed by airborne magnetics and radar sounding</t>
  </si>
  <si>
    <t>Slessor Glacier; subglacial sediments; aeromagnetics; East Antarctica; radio echo sounding</t>
  </si>
  <si>
    <t>TRANSANTARCTIC MOUNTAINS; RIFT SYSTEM; ICE STREAM; FLOW; GRAVITY; GLACIER; CRUSTAL; SHEET</t>
  </si>
  <si>
    <t>During the austral summer of 2001/02 five thousand line kilometres of airborne radio echo sounding and aeromagnetic data were collected in the region of three tributaries of Slessor Glacier, East Antarctica, which drains into the Filchner Ice Shelf. Basal topography and roughness estimates were obtained from the echo sounding data, which have been combined, here, with the subglacial geological units inferred from an analysis of the aeromagnetic data. This analysis included Euler and Werner deconvolution to determine the location and depth of sills, dykes and faults. In addition, we high-pass filtered the magnetic anomaly profiles to obtain information about the near surface subglacial geology. This revealed a prominent area of low magnetic susceptibility lying in a deep topographic basin underneath the northern tributary of Slessor Glacier. Forward and inverse magnetic models indicate that this area is likely underlain by a 3 km thick sedimentary basin. Ice flow modelling suggests that this sedimentary basin influences the ice dynamics in the tributary. These results have important implications for understanding the dynamics of this and other East Antarctic flow features that may be underlain by a weak sedimentary bed. (c) 2006 Elsevier B.V. All rights reserved.</t>
  </si>
  <si>
    <t>Univ Bristol, Sch Geog Sci, Bristol Glaciol Ctr, Bristol BS8 1SS, Avon, England; British Antarctic Survey, Cambridge CB3 0ET, England</t>
  </si>
  <si>
    <t>University of Bristol; UK Research &amp; Innovation (UKRI); Natural Environment Research Council (NERC); NERC British Antarctic Survey</t>
  </si>
  <si>
    <t>Univ Bristol, Sch Geog Sci, Bristol Glaciol Ctr, Bristol BS8 1SS, Avon, England.</t>
  </si>
  <si>
    <t>J.Bamber@bristol.ac.uk</t>
  </si>
  <si>
    <t>Bamber, Jonathan/C-7608-2011</t>
  </si>
  <si>
    <t>Bamber, Jonathan/0000-0002-2280-2819; Ferraccioli, Fausto/0000-0002-9347-4736</t>
  </si>
  <si>
    <t>10.1016/j.epsl.2006.01.068</t>
  </si>
  <si>
    <t>WOS:000236991300022</t>
  </si>
  <si>
    <t>Severinghaus, JP; Battle, MO</t>
  </si>
  <si>
    <t>Fractionation of gases in polar lee during bubble close-off: New constraints from firn air Ne, Kr and Xe observations</t>
  </si>
  <si>
    <t>ice cores; trapped gases; air bubbles; noble gases; fractionation; molecular size</t>
  </si>
  <si>
    <t>ABRUPT CLIMATE-CHANGE; ICE CORE; MOLECULAR-DIFFUSION; ATMOSPHERIC OXYGEN; ANTARCTIC ICE; TRAPPED AIR; SIPLE-DOME; O-2; VOSTOK; AGE</t>
  </si>
  <si>
    <t>Gas ratios in air withdrawn from polar firn (snowpack) show systematic enrichments of Ne/N-2, O-2/N-2 and Ar/N-2, in the firn-ice transition region where bubbles are closing off. Air from the bubbles in polar ice is correspondingly depleted in these ratios, after accounting for gravitational effects. Gas in the bubbles becomes fractionated during the process of bubble close-off and fractionation may continue as ice cores are stored prior to analysis. We present results from firn air studies at South Pole and Siple Dome, Antarctica, which add Ne, Kr and Xe measurements to the suite of observations. Ne, O-2 and Ar appear to be preferentially excluded from the shrinking and occluding bubbles, and these gases therefore accumulate in the residual firn air, creating a progressive enrichment with time (and depth) in firn air. Early sealing of gases by thin horizontal impermeable layers into a nondiffusive zone or lock-in zone greatly enhances this enrichment. A simple model of the bubble close-off fractionation and lock-in zone enrichment fits the data adequately. The model presumes that fractionation is caused by selective permeation of gas through the ice lattice from slightly overpressured bubbles. The effect appears to be size-dependent, because Ne, 02 and Ar have smaller effective molecular diameters than N-2, and fractionation increases strongly with decreasing size. Ne is fractionated 34 2 times more than 0, in South Pole firn air and reaches an enrichment of 90 parts per thousand in the deepest sample. The large atoms Kr and Xe do not appear to be fractionated by this process, despite the large size difference between the two gases, suggesting a threshold atomic diameter of similar to 3.6 angstrom above which the probability becomes very small that the gas will escape from the bubble. These findings have implications for ice core and firn air studies that use gas ratios to infer paleotemperature, chronology and past atmospheric composition. (c) 2006 Elsevier B.V.. All rights reserved.</t>
  </si>
  <si>
    <t>Univ Calif San Diego, Scripps Inst Oceanog, La Jolla, CA 92093 USA; Bowdoin Coll, Dept Phys &amp; Astron, Brunswick, ME 04011 USA</t>
  </si>
  <si>
    <t>University of California System; University of California San Diego; Scripps Institution of Oceanography; Bowdoin College</t>
  </si>
  <si>
    <t>Univ Calif San Diego, Scripps Inst Oceanog, 9500 Gilman Dr, La Jolla, CA 92093 USA.</t>
  </si>
  <si>
    <t>jseveringhaus@ucsd.edu</t>
  </si>
  <si>
    <t>10.1016/j.epsl.2006.01.032</t>
  </si>
  <si>
    <t>WOS:000236991300033</t>
  </si>
  <si>
    <t>Bustnes, JO; Tveraa, T; Henden, JA; Varpe, O; Janssen, K; Skaare, JU</t>
  </si>
  <si>
    <t>Organochlorines in Antarctic and Arctic avian top predators: A comparison between the south polar skua and two species of northern hemisphere gulls</t>
  </si>
  <si>
    <t>BLACK-BACKED GULLS; PERSISTENT ORGANIC POLLUTANTS; SHARP-SHINNED HAWKS; POLYCHLORINATED-BIPHENYLS; CATHARACTA-MACCORMICKI; BLOOD-CONCENTRATIONS; PEREGRINE FALCONS; COLD CONDENSATION; ADELIE PENGUIN; GLAUCOUS GULLS</t>
  </si>
  <si>
    <t>Different organochlorine compounds (M) were measured in the blood of breeding south polar skuas (Catharacta maccormicki) at Svarthamaren, Dronning Maud Land (Antarctica) and compared to those in two species of northern hemisphere gulls: the Arctic glaucous gull (Larus hyperboreus) and the subarctic great black-backed gull (Larus marinus). The skuas had 8% and 29% of the Sigma OC levels (45 ng/g, wet weight) of glaucous gulls (591 ng/g) and great black-backed gulls (158 ng/g), respectively. Polychlorinated biphenyls (PCBs) and p,p'-dichlorodiphenyldichloroethylene (p,p'-DDE) were very low in skuas compared to northern gulls, but the mean hexachlorobenzene (HCB) level was 1.7 times higher than in great black-backed gulls and one-third of the glaucous gull level. Mirex levels in skuas were among the highest reported in birds, the mean level being 3 and 26 times higher than those in glaucous gull and great black-backed gulls, respectively. In skuas, the mean levels of HCB, oxychlordane, p,p'-DDE, and PCBs increased by about 30% during a 2-week period, and mirex increased by nearly 60%. In glacuous gulls, HCB, p,p'-DDE, and PCBs increased by 10-20%. For HCB, mirex, and oxychlordane, only a relatively small proportion of the increase in skuas could be explained by changes in lipid pools and the levels at first sampling, compared to glaucous gulls. Thus, skuas were probably accumulating these compounds when present in Antarctica. p,p'-DDE and PCB levels, in contrast, seemed much more stable in the skuas. Relatively high levels of mirex and HCB in south polar skuas are concerning with regard to potential adverse effects.</t>
  </si>
  <si>
    <t>Norwegian Inst Nat Res, Polar Environm Ctr, Unit Arctic Ecol, N-9296 Tromso, Norway; Univ Bergen, Dept Biol, N-5020 Bergen, Norway; Norwegian Sch Vet Sci, Natl Vet Inst, N-0033 Oslo, Norway</t>
  </si>
  <si>
    <t>Norwegian Institute Nature Research; University of Bergen; Norwegian Veterinary Institute; Norwegian University of Life Sciences</t>
  </si>
  <si>
    <t>Norwegian Inst Nat Res, Polar Environm Ctr, Unit Arctic Ecol, N-9296 Tromso, Norway.</t>
  </si>
  <si>
    <t>Jan.O.Bustnes@nina.no</t>
  </si>
  <si>
    <t>Varpe, Øystein/B-9693-2008</t>
  </si>
  <si>
    <t>Varpe, Øystein/0000-0002-5895-6983; Henden, John-Andre/0000-0002-8825-1167; Tveraa, Torkild/0000-0002-7501-3696</t>
  </si>
  <si>
    <t>1520-5851</t>
  </si>
  <si>
    <t>10.1021/es051920q</t>
  </si>
  <si>
    <t>035HX</t>
  </si>
  <si>
    <t>WOS:000236992700053</t>
  </si>
  <si>
    <t>Esposito, RMM; Horn, SL; McKnight, DM; Cox, MJ; Grant, MC; Spaulding, SA; Doran, PT; Cozzetto, KD</t>
  </si>
  <si>
    <t>Antarctic climate cooling and response of diatoms in glacial meltwater streams</t>
  </si>
  <si>
    <t>SPECIES-ENVIRONMENT RELATIONSHIPS; FRESH-WATER DIATOMS; TAYLOR VALLEY; ISLAND; LAKES; COMMUNITIES; ASSEMBLAGES; ECOSYSTEM; ECOLOGY; MODELS</t>
  </si>
  <si>
    <t>To understand biotic responses to an Antarctic cooling trend, we analyzed diatom samples from glacial meltwater streams in the McMurdo Dry Valleys, the largest ice-free area in Antarctica. Diatoms are abundant in these streams, and 24 of 40 species have only been found in the Antarctic. The percentage of these Antarctic diatom species increased with decreasing annual stream flow and increasing harshness of the stream habitat. The species diversity of assemblages reached a maximum when the Antarctic species accounted for 40-60% of relative diatom abundance. Decreased solar radiation and air-temperatures reduce annual stream flow, raising the dominance of these Antarctic species to levels above 60%. Thus, cooling favors the Antarctic species, and lowers diatom species diversity in this region.</t>
  </si>
  <si>
    <t>Univ Colorado, Inst Arctic &amp; Alpine Res, INSTAAR, Boulder, CO 80309 USA; US Geol Survey, Denver, CO 80225 USA; Univ Illinois, Dept Earth &amp; Environm Sci, Chicago, IL 60607 USA</t>
  </si>
  <si>
    <t>University of Colorado System; University of Colorado Boulder; United States Department of the Interior; United States Geological Survey; University of Illinois System; University of Illinois Chicago; University of Illinois Chicago Hospital</t>
  </si>
  <si>
    <t>Univ Colorado, Inst Arctic &amp; Alpine Res, INSTAAR, Box 450, Boulder, CO 80309 USA.</t>
  </si>
  <si>
    <t>rhea.esposito@colorado.edu</t>
  </si>
  <si>
    <t>Spaulding, Sarah Ann/AEZ-7757-2022</t>
  </si>
  <si>
    <t>Spaulding, Sarah Ann/0000-0002-9787-7743; MCKNIGHT, DIANE/0000-0002-4171-1533</t>
  </si>
  <si>
    <t>L07406</t>
  </si>
  <si>
    <t>10.1029/2006GL025903</t>
  </si>
  <si>
    <t>039DL</t>
  </si>
  <si>
    <t>WOS:000237281300008</t>
  </si>
  <si>
    <t>Plag, HP</t>
  </si>
  <si>
    <t>Recent relative sea-level trends: an attempt to quantify the forcing factors</t>
  </si>
  <si>
    <t>United Kingdom Sea Level Science Conference</t>
  </si>
  <si>
    <t>FEB 16-17, 2004</t>
  </si>
  <si>
    <t>Royal Soc, Liverpool, ENGLAND</t>
  </si>
  <si>
    <t>Royal Soc</t>
  </si>
  <si>
    <t>relative sea-level trends; ice mass changes; steric sea-level changes; global sea-level trend</t>
  </si>
  <si>
    <t>RISE</t>
  </si>
  <si>
    <t>Local sea-level is affected by a number of forcing factors, which all contribute to the trends observed by tide gauges. Here we use the fingerprints of main factors contributing to secular sea-level trends to construct an initial empirical model that explains best the trends in sea-level as recorded by the large number of coastal tide gauges over the last 50 years. The forcing factors considered include steric changes derived from observations, post-glacial rebound as predicted by geophysical models and mass changes in the,e Greenland and Antarctic ice sheets as predicted by the static sea-level equation. The approximation of the observed spatial pattern of sea-level trends through a model based on the spatial fingerprints of the main forcing factors fully utilizes the information contents of the available observations and models and allows the interpolation of the sea-level trends between the tide gauges. As a result, we obtain the global picture of sea-level trends due to the forcing factors accounted for in the analysis. Moreover, we derive constraints on the mass changes of the large ice sheets. The empirical models explain about 15% of the variance of the sea-level trends. Nevertheless, the models are correlated with the observations on the level of 0.38 +/- 0.07, indicating that most of the unexplained variance is due to contributions with small spatial scales. Averaged over the last five decades, the results indicate that the Antarctic and Greenland ice sheets have been melting with an equivalent contribution to global sea-level rise of 0.39 +/- 0.11 and 0.10 +/- 0.05 mm yr(-1) respectively. The steric signal derived from observations is clearly identified in the sea-level trends and is found to be at a minimum of 0.2 mm yr(-1), with the most likely value being close to 0.35 mm yr-1. The global tide gauge network, which covers only a small fraction of the ocean surface, appears to sense an average sea-level rise larger than the global average. Extrapolating the regression models to the global ocean and taking into account the uncertainties in the extrapolation results in a most likely global average of the order of 1.05 +/- 0.75 mm yr(-1).</t>
  </si>
  <si>
    <t>Univ Nevada, Bur Mines &amp; Geol, Reno, NV 89557 USA</t>
  </si>
  <si>
    <t>Nevada System of Higher Education (NSHE); University of Nevada Reno</t>
  </si>
  <si>
    <t>Plag, HP (corresponding author), Univ Nevada, Bur Mines &amp; Geol, Mailstop 178, Reno, NV 89557 USA.</t>
  </si>
  <si>
    <t>hpplag@unr.edu</t>
  </si>
  <si>
    <t>PHILOS T ROY SOC A</t>
  </si>
  <si>
    <t>10.1098/rsta.2006.1739</t>
  </si>
  <si>
    <t>025PJ</t>
  </si>
  <si>
    <t>WOS:000236278700006</t>
  </si>
  <si>
    <t>Hughes, CW; Meredith, CP</t>
  </si>
  <si>
    <t>Coherent sea-level fluctuations along the global continental slope</t>
  </si>
  <si>
    <t>sea-level; continental slope; Kelvin waves</t>
  </si>
  <si>
    <t>NORTHERN NORTH-ATLANTIC; DEEP-OCEAN CIRCULATION; COASTAL-TRAPPED WAVES; DRAKE PASSAGE; BUOYANCY FORCES; NORWEGIAN SEA; VARIABILITY; TOPEX/POSEIDON; TOPOGRAPHY; ADJUSTMENT</t>
  </si>
  <si>
    <t>Signals in sea-level or, more properly, sub-surface pressure (SSP; sea-level corrected for the inverse barometer effect) are expected to propagate rapidly along the continental slope due to the effect of sloping topography on wave modes, resulting in strongly correlated SSP over long-distances. Observations of such correlations around the Arctic and Antarctic are briefly reviewed, and then extended using satellite altimetry to the rest of the global continental slope. It is shown that such long.-distance correlations are common, especially in extra-tropical regions. Simple correlations from altimetry cannot., however, establish the wave speed., or whether waves are responsible for the correlations as opposed to large-scale coherence in the forcing. A case study, around South America is used to highlight some of the complications, and is found to strengthen the case for the importance of wave modes in such long-distance SSP coherence, although more detailed in situ data are required to resolve the cause of the correlations.</t>
  </si>
  <si>
    <t>Proudman Oceanog Lab, Liverpool L3 5DA, Merseyside, England</t>
  </si>
  <si>
    <t>NERC National Oceanography Centre</t>
  </si>
  <si>
    <t>Hughes, CW (corresponding author), Proudman Oceanog Lab, Joseph Proudman Bldg,6 Brownlow St, Liverpool L3 5DA, Merseyside, England.</t>
  </si>
  <si>
    <t>cwh@pol.ac.uk</t>
  </si>
  <si>
    <t>Hughes, Chris/GQP-7479-2022; Hughes, Chris W/A-3791-2010</t>
  </si>
  <si>
    <t>Hughes, Chris W/0000-0002-9355-0233; Meredith, Michael/0000-0002-7342-7756</t>
  </si>
  <si>
    <t>Natural Environment Research Council [NER/T/S/2002/00485] Funding Source: researchfish</t>
  </si>
  <si>
    <t>10.1098/rsta.2006.1744</t>
  </si>
  <si>
    <t>WOS:000236278700010</t>
  </si>
  <si>
    <t>Smith, DE; Fretwell, PT; Cullingford, RA; Firth, CR</t>
  </si>
  <si>
    <t>Towards improved empirical isobase models of Holocene land uplift for mainland Scotland, UK</t>
  </si>
  <si>
    <t>Gaussian trend surface; isobase; Holocene Storegga Slide tsunami shoreline; Main Postglacial shoreline; Blairdrummond shoreline; Wigtown shoreline</t>
  </si>
  <si>
    <t>SEA-LEVEL CHANGES; GLACIO-ISOSTATIC UPLIFT; BRITISH-ISLES; GREAT-BRITAIN; ICE-SHEET; GLEN-ROY; VALLEY; MAXIMUM; COAST</t>
  </si>
  <si>
    <t>A new approach to modelling patterns of glacio-isostatic land uplift during the Holocene in mainland Scotland, UK, is described. The approach is based upon altitude measurements it, the inner margin or locally highest point of raised estuarine surfaces dated by radiocarbon assay supported by microfossil analyses. 2241 altitudes have been analysed by a technique new to studies of former sea-levels, Gaussian Trend Surface Analysis, and isobase models for four Holocene shorelines: the Holocene Storegga Slide tsunami shoreline, abandoned rapidly circa 7900 sidereal years BP; the Main Postglacial shoreline, abandoned during circa 6400-7700 sidereal years BP; the Blairdrummond shoreline, abandoned during circa 4500-5800 sidereal years BP, and a speculative fourth shoreline, the Wigtown shoreline, abandoned during circa 1520-3700 sidereal years BP, axe shown in a series of maps. The implications of the shoreline patterns for glaicio-isostasy in the area are discussed. It is maintained that the statistical technique used enables broad estimates to be made of nearshore sea surface change.</t>
  </si>
  <si>
    <t>Univ Oxford, Ctr Environm, Oxford OX1 3QY, England; British Antarctic Survey, Cambridge CB3 0ET, England; Univ Exeter, Dept Geog, Exeter EX4 4RJ, Devon, England; Univ Brighton, Sch Environm, Brighton BN2 4GJ, E Sussex, England</t>
  </si>
  <si>
    <t>University of Oxford; UK Research &amp; Innovation (UKRI); Natural Environment Research Council (NERC); NERC British Antarctic Survey; University of Exeter; University of Brighton</t>
  </si>
  <si>
    <t>Univ Oxford, Ctr Environm, S Parks Rd, Oxford OX1 3QY, England.</t>
  </si>
  <si>
    <t>david.smith@ouce.ox.ac.uk</t>
  </si>
  <si>
    <t>Firth, Callum/0000-0002-9698-1338</t>
  </si>
  <si>
    <t>Natural Environment Research Council [bas010012] Funding Source: researchfish; NERC [bas010012] Funding Source: UKRI</t>
  </si>
  <si>
    <t>10.1098/rsta.2006.1748</t>
  </si>
  <si>
    <t>WOS:000236278700014</t>
  </si>
  <si>
    <t>Pandey, PC; Khare, N; Sudhakar, M</t>
  </si>
  <si>
    <t>Pandey, P. C.; Khare, N.; Sudhakar, M.</t>
  </si>
  <si>
    <t>Oceanographic research: Indian efforts and preliminary results from the Southern Ocean</t>
  </si>
  <si>
    <t>antarctic continent; Indian pilot expedition; Southern Ocean</t>
  </si>
  <si>
    <t>ANTARCTIC CIRCUMPOLAR CURRENT; ZONATION</t>
  </si>
  <si>
    <t>The Indian pilot expedition to Southern, Ocean was launched by the National Centre for Antarctic and Ocean Research, Goa in January 2004. During this expedition a number of studies/experiments such as atmospheric observations, physical oceanographic observations, biological studies and chemical oceanographic observations were undertaken. In addition, to understand and reconstruct palaeoclimatic conditions in this part of the world, a number of surface and sub-surface sediment samples were collected along a north-south transect from 9.69 degrees N to 55.01 degrees S between 80 and 40 degrees E long. The preliminary results of these studies in varied fields are presented here. These efforts of Indian scientists on Southern Ocean oceanography have yielded valuable data. The encouraging results have their bearing on the understanding and reconstruction of the glacial hydrography, sea ice extent and changes (if any) in the position of the palaeo front during the Holocene and the LGM over this sector of the Southern Ocean.</t>
  </si>
  <si>
    <t>Natl Ctr Antarctic &amp; Ocean Res, Dept Ocean Dev, Vasco da Gama 403804, Goa, India</t>
  </si>
  <si>
    <t>Pandey, PC (corresponding author), Natl Ctr Antarctic &amp; Ocean Res, Dept Ocean Dev, Headland Sada, Vasco da Gama 403804, Goa, India.</t>
  </si>
  <si>
    <t>pcpandey@ncaor.org</t>
  </si>
  <si>
    <t>APR 10</t>
  </si>
  <si>
    <t>053JJ</t>
  </si>
  <si>
    <t>WOS:000238301100026</t>
  </si>
  <si>
    <t>Buitenhuis, E; Le Quéré, C; Aumont, O; Beaugrand, G; Bunker, A; Hirst, A; Ikeda, T; O'Brien, T; Piontkovski, S; Straile, D</t>
  </si>
  <si>
    <t>Biogeochemical fluxes through mesozooplankton</t>
  </si>
  <si>
    <t>MARINE PLANKTONIC COPEPODS; PHYTOPLANKTON GROWTH; OXYGEN-CONSUMPTION; EXPORT PRODUCTION; METABOLIC RATES; SWIMMING SPEED; FECAL PELLETS; GLOBAL RATES; BODY-MASS; ZOOPLANKTON</t>
  </si>
  <si>
    <t>[1] Mesozooplankton are significant consumers of phytoplankton, and have a significant impact on the oceanic biogeochemical cycles of carbon and other elements. Their contribution to vertical particle flux is much larger than that of microzooplankton, yet most global biogeochemical models have lumped these two plankton functional types together. In this paper we bring together several newly available data syntheses on observed mesozooplankton concentration and the biogeochemical fluxes they mediate, and perform data synthesis on flux rates for which no synthesis was available. We update the equations of a global biogeochemical model with an explicit representation of mesozooplankton ( PISCES). We use the rate measurements to constrain the parameters of mesozooplankton, and evaluate the model results with our independent synthesis of mesozooplankton concentration measurements. We also perform a sensitivity study to analyze the impact of uncertainty in the flux rates. The standard model run was parameterized on the basis of the data synthesis of flux rates. The results of mesozooplankton concentration in the standard run are slightly lower than the independent databases of observed mesozooplankton concentrations, but not significantly. This shows that structuring and parameterizing biogeochemical models on the basis of observations without tuning is a strategy that works. The sensitivity study showed that by using a maximum grazing rate of mesozooplankton that is only 30% higher than the poorly constrained fit to the observations, the model mesozooplankton concentration gets closer to the observations, but mesozooplankton grazing becomes higher than what is currently accounted for. This is an indication that food selection by mesozooplankton is not sufficiently quantified at present. Despite the amount of effort that is represented by the data syntheses of all relevant processes, the good results that were obtained for mesozooplankton indicate that this effort needs to be applied to all components of marine biogeochemistry. The development of ecosystem models that better represent key plankton groups and that are more closely based on observations should lead to better understanding and quantification of the feedbacks between marine ecosystems and climate.</t>
  </si>
  <si>
    <t>Max Planck Inst Biogeochem, Jena, Germany; Univ Paris 06, Lab Oceanog Dynam &amp; Climatol, F-75252 Paris, France; Sir Alistar Hardy Fdn, Plymouth, Devon, England; Heriot Watt Univ, Edinburgh EH14 4AS, Midlothian, Scotland; British Antarctic Survey, Cambridge CB3 0ET, England; Hokkaido Univ, Grad Sch Fisheries Sci, Plankton Lab, Hakodate, Hokkaido 0418611, Japan; Natl Marine Fisheries Serv, Silver Spring, MD 20910 USA; SUNY Stony Brook, Marine Sci Res Ctr, Stony Brook, NY 11794 USA; Univ Konstanz, Limnol Inst, D-78457 Constance, Germany</t>
  </si>
  <si>
    <t>Max Planck Society; Sorbonne Universite; Heriot Watt University; UK Research &amp; Innovation (UKRI); Natural Environment Research Council (NERC); NERC British Antarctic Survey; Hokkaido University; National Oceanic Atmospheric Admin (NOAA) - USA; State University of New York (SUNY) System; State University of New York (SUNY) Stony Brook; University of Konstanz</t>
  </si>
  <si>
    <t>Univ E Anglia, Dept Environm, Norwich NR4 7TJ, Norfolk, England.</t>
  </si>
  <si>
    <t>martinburo@email.com</t>
  </si>
  <si>
    <t>Hirst, Andrew G/A-6296-2013; Straile, Dietmar/A-4065-2008; Piontkovski, Sergey/ABB-9334-2020; Aumont, Olivier/G-5207-2016; Bunker, Alex/ABC-2638-2021; Le Quéré, Corinne/C-2631-2017; Buitenhuis, Erik/A-7692-2012</t>
  </si>
  <si>
    <t>Straile, Dietmar/0000-0002-7441-8552; Aumont, Olivier/0000-0003-3954-506X; Bunker, Alex/0000-0002-1236-9513; Le Quéré, Corinne/0000-0003-2319-0452; BEAUGRAND, GREGORY/0000-0002-0712-5223; Hirst, Andrew/0000-0001-9132-1886; Buitenhuis, Erik/0000-0001-6274-5583</t>
  </si>
  <si>
    <t>APR 8</t>
  </si>
  <si>
    <t>GB2003</t>
  </si>
  <si>
    <t>10.1029/2005GB002511</t>
  </si>
  <si>
    <t>033VQ</t>
  </si>
  <si>
    <t>WOS:000236879700001</t>
  </si>
  <si>
    <t>Antarctic warming: Hot air</t>
  </si>
  <si>
    <t>031OB</t>
  </si>
  <si>
    <t>WOS:000236712800007</t>
  </si>
  <si>
    <t>Kim, H; Dooley, KS; Johnson, ER; North, SW</t>
  </si>
  <si>
    <t>Photodissociation of the BrO radical using velocity map ion imaging:: Excited state dynamics and accurate D00(BrO) evaluation</t>
  </si>
  <si>
    <t>JOURNAL OF CHEMICAL PHYSICS</t>
  </si>
  <si>
    <t>BOND-DISSOCIATION ENERGIES; CROSS-SECTIONS; ATMOSPHERIC BROMINE; ABSORPTION-SPECTRUM; ANTARCTIC OZONE; SPECTROSCOPY; KINETICS; HYDROXYL; HEAT; TRANSITION</t>
  </si>
  <si>
    <t>We have studied the photodissociation dynamics of expansion-cooled BrO radical both above (278-281.5 nm) and below (355 nm) the A (2)Pi(3/2) state threshold using velocity map ion imaging. A recently developed late-mixing flash pyrolytic reactor source was utilized to generate an intense BrO radical molecular beam. The relative electronic product branching ratios at 355 nm and from 278 to 281.5 nm were determined. We have investigated the excited state dynamics based on both the product branching and the photofragment angular distributions. We find that above the O(D-1(2)) threshold the contribution of the direct excitation to states other than the A (2)Pi(3/2) state and the role of curve crossing is considerably larger in BrO compared to that observed for ClO, in agreement with recent theoretical studies. The measurement of low velocity photofragments resulting from photodissociation just above the O(D-1(2)) threshold provides an accurate and direct determination of the A (2)Pi(3/2) state dissociation threshold of 35418 +/- 35 cm(-1), leading to a ground state bond energy of D-0(0)(BrO)=55.9 +/- 0.1 kcal/mol. (c) 2006 American Institute of Physics.</t>
  </si>
  <si>
    <t>Texas A&amp;M Univ, Dept Chem, College Stn, TX 77842 USA</t>
  </si>
  <si>
    <t>Texas A&amp;M Univ, Dept Chem, College Stn, TX 77842 USA.</t>
  </si>
  <si>
    <t>swnorth@tamu.edu</t>
  </si>
  <si>
    <t>North, Simon/G-5054-2012</t>
  </si>
  <si>
    <t>North, Simon/0000-0002-0795-796X</t>
  </si>
  <si>
    <t>1305 WALT WHITMAN RD, STE 300, MELVILLE, NY 11747-4501 USA</t>
  </si>
  <si>
    <t>0021-9606</t>
  </si>
  <si>
    <t>1089-7690</t>
  </si>
  <si>
    <t>J CHEM PHYS</t>
  </si>
  <si>
    <t>J. Chem. Phys.</t>
  </si>
  <si>
    <t>APR 7</t>
  </si>
  <si>
    <t>10.1063/1.2173265</t>
  </si>
  <si>
    <t>Chemistry, Physical; Physics, Atomic, Molecular &amp; Chemical</t>
  </si>
  <si>
    <t>Chemistry; Physics</t>
  </si>
  <si>
    <t>030DA</t>
  </si>
  <si>
    <t>WOS:000236612300014</t>
  </si>
  <si>
    <t>Wang, ZM; Mysak, LA</t>
  </si>
  <si>
    <t>Glacial abrupt climate changes and Dansgaard-Oeschger oscillations in a coupled climate model</t>
  </si>
  <si>
    <t>ATLANTIC THERMOHALINE CIRCULATION; NORTH-ATLANTIC; RAPID CHANGES; SYSTEM MODEL; ICE SHEETS; PART I; SCALE; SEA; INSTABILITY; GREENLAND</t>
  </si>
  <si>
    <t>[1] There are three fundamental features which characterize large glacial millennial (Dansgaard-Oeschger) oscillations: ( 1) the climatic transitions were abrupt and large; ( 2) the lengths of both interstadials and stadials and the period of Dansgaard-Oeschger oscillations were not uniform; and ( 3) there were no large millennial oscillations during an early stage of a glacial period and a peak glacial period. In this modeling study we offer a consistent explanation for these three features by employing an Earth system Model of Intermediate Complexity. We demonstrate that a moderate global cooling forces the Atlantic meridional overturning circulation (MOC) into an unstable state and hence causes the flip-flop of the Atlantic MOC between a strong mode and a weak mode. The durations of both interstadials and stadials associated with these millennial oscillations are modulated by the changing background climate in qualitative agreement with the observations. In a warm climate the Atlantic MOC is strong and stable, with the deep water formed mainly by intense heat loss to the atmosphere. In a cold climate the Atlantic MOC is weak and stable, and this mode is largely maintained by the process of sea ice brine rejection. Since the Dansgaard-Oeschger oscillations result from an alternation between these two MOC states during an intermediate phase climate, we conclude that brine rejection plays a necessary role in the oscillations, confirming a hypothesis suggested in some proxy data studies.</t>
  </si>
  <si>
    <t>McGill Univ, Dept Atmospher &amp; Ocean Sci, Earth Syst Modelling Grp, Montreal, PQ H3A 2K6, Canada</t>
  </si>
  <si>
    <t>McGill University</t>
  </si>
  <si>
    <t>British Antarctic Survey, High Cross,Madingley Rd, Cambridge CB3 0ET, England.</t>
  </si>
  <si>
    <t>zwa@bas.ac.uk</t>
  </si>
  <si>
    <t>wang, zhaomin/0000-0001-7103-6025</t>
  </si>
  <si>
    <t>PA2001</t>
  </si>
  <si>
    <t>10.1029/2005PA001238</t>
  </si>
  <si>
    <t>033WO</t>
  </si>
  <si>
    <t>WOS:000236883000001</t>
  </si>
  <si>
    <t>Shuman, CA; Zwally, HJ; Schutz, BE; Brenner, AC; DiMarzio, JP; Suchdeo, VP; Fricker, HA</t>
  </si>
  <si>
    <t>ICESat Antarctic elevation data: Preliminary precision and accuracy assessment</t>
  </si>
  <si>
    <t>Since 'first light' on February 20th, 2003, NASA's Ice, Cloud, and land Elevation Satellite (ICESat) has derived surface elevations from similar to 86 degrees N to 86 degrees S latitude. These unique altimetry data have been acquired in a series of observation periods in repeated track patterns using all three Geoscience Laser Altimeter System (GLAS) lasers. Here, we focus on Antarctic ice sheet elevation data that were obtained in 2003-2004. We present preliminary precision and accuracy assessments of selected elevation data, and discuss factors impacting elevation change detection. We show that for low slope and clear sky conditions, the precision of GLA12 Laser 2a, Release 21 data is similar to 2.1 cm and the relative accuracy of ICESat elevations is +/- 14 cm based on crossover differences.</t>
  </si>
  <si>
    <t>NASA, Goddard Space Flight Ctr, Cryospher Sci Branch, Greenbelt, MD 20771 USA; Univ Texas, Ctr Space Res, Austin, TX 78759 USA; NASA, Goddard Space Flight Ctr, SSAI, Lanham, MD 20706 USA; SGT Inc, NASA, Goddard Space Flight Ctr, Greenbelt, MD 20771 USA; NVI Inc, NASA, Goddard Space Flight Ctr, Greenbelt, MD USA; Univ Calif San Diego, Scripps Inst Oceanog, La Jolla, CA 92093 USA</t>
  </si>
  <si>
    <t>National Aeronautics &amp; Space Administration (NASA); NASA Goddard Space Flight Center; University of Texas System; University of Texas Austin; National Aeronautics &amp; Space Administration (NASA); NASA Goddard Space Flight Center; Stinger Ghaffarian Technologies, Inc. (SGT); National Aeronautics &amp; Space Administration (NASA); NASA Goddard Space Flight Center; National Aeronautics &amp; Space Administration (NASA); NASA Goddard Space Flight Center; University of California System; University of California San Diego; Scripps Institution of Oceanography</t>
  </si>
  <si>
    <t>NASA, Goddard Space Flight Ctr, Cryospher Sci Branch, Code 614-1, Greenbelt, MD 20771 USA.</t>
  </si>
  <si>
    <t>christopher.a.shuman@nasa.gov</t>
  </si>
  <si>
    <t>Fricker, Helen Amanda/0000-0002-0921-1432</t>
  </si>
  <si>
    <t>APR 6</t>
  </si>
  <si>
    <t>L07501</t>
  </si>
  <si>
    <t>10.1029/2005GL025227</t>
  </si>
  <si>
    <t>033VH</t>
  </si>
  <si>
    <t>WOS:000236878600002</t>
  </si>
  <si>
    <t>Nielsen, K; Taylor, MJ; Stockwell, RG; Jarvis, MJ</t>
  </si>
  <si>
    <t>An unusual mesospheric bore event observed at high latitudes over Antarctica</t>
  </si>
  <si>
    <t>GRAVITY-WAVE EVENT; LIDAR; CAMPAIGN</t>
  </si>
  <si>
    <t>All-sky CCD observations of short-period mesospheric gravity waves have been made from Halley Station, Antarctica (76 degrees S, 27 degrees W). On 27 May, 2001, an unusual wave event exhibiting several features characteristic of a bore'' was observed in the OH, Na, and O-2 nightglow emissions. Mesospheric bores are rare wave events that have previously been observed at mid- and low-latitudes. This event was particular interesting as: ( 1) it initially appeared as a single, high contrast, linear front, accompanied by a sharp enhancement in intensity in all three emissions, ( 2) a number of trailing wave crests were observed to form with a measured growth rate of 6.6 waves/hr, and ( 3) the wave pattern exhibited unusual dynamics with significant variability in the observed phase speed and a reduction in the horizontal wavelength by similar to 50% over a 1-hr period. The location of Halley and the observed propagation suggests a ducted wave consistent with current bore models.</t>
  </si>
  <si>
    <t>Utah State Univ, Ctr Atmospher &amp; Space Sci, Logan, UT 84322 USA; Utah State Univ, Dept Phys, Logan, UT 84322 USA; NW Res Associates Inc, Colorado Res Associates Div, Boulder, CO 80301 USA; British Antarctic Survey, Cambridge CB3 0ET, England</t>
  </si>
  <si>
    <t>Utah System of Higher Education; Utah State University; Utah System of Higher Education; Utah State University; NorthWest Research Associates; UK Research &amp; Innovation (UKRI); Natural Environment Research Council (NERC); NERC British Antarctic Survey</t>
  </si>
  <si>
    <t>Nielsen, K (corresponding author), Utah State Univ, Ctr Atmospher &amp; Space Sci, Logan, UT 84322 USA.</t>
  </si>
  <si>
    <t>knielsen@cc.usu.edu</t>
  </si>
  <si>
    <t>APR 5</t>
  </si>
  <si>
    <t>L07803</t>
  </si>
  <si>
    <t>10.1029/2005GL025649</t>
  </si>
  <si>
    <t>033VF</t>
  </si>
  <si>
    <t>WOS:000236878400008</t>
  </si>
  <si>
    <t>Seppälä, A; Verronen, PT; Sofieva, VF; Tamminen, J; Kyrölä, E; Rodger, CJ; Clilverd, MA</t>
  </si>
  <si>
    <t>Destruction of the tertiary ozone maximum during a solar proton event</t>
  </si>
  <si>
    <t>POLAR-CAP ABSORPTION; MIDDLE ATMOSPHERE; JULY 13; DEPLETION</t>
  </si>
  <si>
    <t>Ozone observations from the GOMOS instrument together with a coupled ion and neutral chemistry model are used to study the effects of the January 2005 solar storms on the polar winter middle atmosphere. The model results indicate strong HOx and NOx enhancements in the mesosphere, and simultaneous ozone depletion maximizing between 70 - 80 km. During strong proton forcing GOMOS measurements show the destruction of the tertiary ozone maximum, observed at polar latitudes near 72 km before the events. This altitude is concurrent with the largest HOx enhancements in the model results. We observe for the first time the disappearance of the tertiary ozone maximum, and determine the underlying cause. With subsiding proton forcing GOMOS measurements show the reappearance of the tertiary ozone maximum, returning to normal values by January 24. Our results indicate that even moderate solar events (&gt; 10 MeV proton flux of &gt; 5000 pfu) can cause significant ozone depletion (&gt; 70%) in the middle atmosphere.</t>
  </si>
  <si>
    <t>Finnish Meteorol Inst, Earth Observat, FI-00101 Helsinki, Finland; Univ Otago, Dept Phys, Dunedin, New Zealand; British Antarctic Survey, NERC, Div Phys Sci, Cambridge CB3 0ET, England</t>
  </si>
  <si>
    <t>Finnish Meteorological Institute; University of Otago; UK Research &amp; Innovation (UKRI); Natural Environment Research Council (NERC); NERC British Antarctic Survey</t>
  </si>
  <si>
    <t>Finnish Meteorol Inst, Earth Observat, POB 503, FI-00101 Helsinki, Finland.</t>
  </si>
  <si>
    <t>annika.seppala@fmi.fi</t>
  </si>
  <si>
    <t>Kyrölä, Erkki T/E-1835-2014; Verronen, P. T./AIE-0203-2022; Tamminen, Johanna/D-7959-2014; Rodger, Craig/A-1501-2011; Verronen, Pekka T/G-6658-2014; Seppälä, Annika/C-8031-2014; Sofieva, Viktoria/E-1958-2014</t>
  </si>
  <si>
    <t>Verronen, P. T./0000-0002-3479-9071; Tamminen, Johanna/0000-0003-3095-0069; Seppälä, Annika/0000-0002-5028-8220; Sofieva, Viktoria/0000-0002-9192-2208; Rodger, Craig J./0000-0002-6770-2707; Kyrola, Erkki/0000-0001-9197-9549</t>
  </si>
  <si>
    <t>L07804</t>
  </si>
  <si>
    <t>10.1029/2005GL025571</t>
  </si>
  <si>
    <t>WOS:000236878400006</t>
  </si>
  <si>
    <t>Teng, HY; Buja, LE; Meehl, GA</t>
  </si>
  <si>
    <t>Twenty-first-century climate change commitment from a multi-model ensemble</t>
  </si>
  <si>
    <t>INCREASED ATMOSPHERIC CO2; EL-NINO; MODEL; SENSITIVITY</t>
  </si>
  <si>
    <t>Climate change commitment in the 21st - century due to human activity in the 20th century is quantified using output from 16 global coupled general circulation models. With the atmospheric composition held constant at year 2000 values, the global annual mean surface temperature anomaly stabilizes with an additional warming over and above what already occurred in the 20th century of + 0.5 degrees +/- 0.2 degrees C by the end of the 21st century. The magnitude is about 0.1 degrees C warmer in the models with the 20th century volcanic aerosol than those models without. The multimodel ensemble ( from 6 models) globally averaged sea level rises + 10 +/- 3cm by 2100 and does not show signs of leveling off. The committed winter warming pattern is characterized by polar amplification due in part to ice albedo feedback, with a further committed warming of above 1.0 degrees C and 0.6 degrees C in the Arctic and Antarctic regions, respectively. The tropical surface temperature pattern shows an El Nino-like response, with consequent changes in precipitation over the tropics. Thus, even after GHGs are stabilized, the multi-model results show that the climate continues to change with similar patterns to those when GHGs are continuously increasing, but these changes are due to the thermal inertia of the climate system reacting to the radiative forcing from the atmospheric composition changes applied during the 20th century.</t>
  </si>
  <si>
    <t>Natl Ctr Atmospher Res, POB 3000, Boulder, CO 80307 USA.</t>
  </si>
  <si>
    <t>hteng@ucar.edu</t>
  </si>
  <si>
    <t>Thompson, Renee L/A-9675-2012</t>
  </si>
  <si>
    <t>APR 4</t>
  </si>
  <si>
    <t>L07706</t>
  </si>
  <si>
    <t>10.1029/2005GL024766</t>
  </si>
  <si>
    <t>033VD</t>
  </si>
  <si>
    <t>WOS:000236878100001</t>
  </si>
  <si>
    <t>Salomon, M; Saborowski, R</t>
  </si>
  <si>
    <t>Tissue-specific distribution of pyruvate kinase isoforms improve the physiological plasticity of Northern krill, Meganyctiphanes norvegica</t>
  </si>
  <si>
    <t>fructose-1.6-bisphosphate; isoenzymes; Meganyctiphanes norvegica; nucelotides; pyruvate kinase</t>
  </si>
  <si>
    <t>ADENYLATE ENERGY-CHARGE; REGULATORY PROPERTIES; MULTIMOLECULAR FORMS; METABOLIC PROPERTIES; EUPHAUSIA-SUPERBA; ANTARCTIC KRILL; MOLT CYCLE; CRUSTACEA; STARVATION; ENZYME</t>
  </si>
  <si>
    <t>The Northern krill, Meganyctiphanes norvegica (Crustacea, Euphausiacea) is widely distributed in the northern and northeastern parts of the Atlantic Ocean where it faces rapid variations in water temperatures and food. We studied the physiological potential of krill to compensate for environmentally induced metabolic changes. Two isoforms of the glycolytic key enzyme pyruvate kinase (PKI and PKII, EC 2.7.1.40) were partly purified from M norvegica by anion exchange chromatography. Specific activities and catalytic properties of each isoform were determined in whole body extracts as well as in selected organs and tissues of males and females. Both PK-isoenzymes differed slightly in their temperature profiles, their activation energy and their molecular weights. PKI showed a high affinity for the substrate PEP and was not affected by fructose-1.6-bisphosphate (FBP). In contrast, PKII showed low affinity for PEP but was strongly activated by FBP, up to 40-fold. The specific PK-activity of whole organisms was lower in females (44.9 +/- 4.8 U center dot g(ww)(-1)) than in males (61.3 +/- 7.7 U center dot g(ww)(-1)). In females PK II represented 20% of the total PK-activity while it was only 10% in males. Highest PK activities were present in the hearts, the eyes, pleopods and in the thoracopods. In the stomachs and the midgut glands PK activities were low. Almost all organs contained PKI and PKII However, PKI prevailed in the abdomens, the pleopods, the thoracopods, and in the thoracic muscles. PKII dominated in the eyes, the midgut glands and in the ovaries. Experiments showed that the tissue concentrations of FBP increased with food uptake and temperature. The expression of two PK-isoforms with different kinetic properties and the mediation of substrate affinity by FPB is a powerful tool to immediately regulate glycolytic energy flows in different organs. The krill is capable of adjusting energy consumption to changes in nutritional conditions as well as variations of environmental temperatures. (c) 2005 Elsevier B.V. All rights reserved.</t>
  </si>
  <si>
    <t>Alfred Wegener Inst Polar &amp; Marine Res, Biol Anstalt Helgoland, D-27483 Helgoland, Germany</t>
  </si>
  <si>
    <t>Helmholtz Association; Alfred Wegener Institute, Helmholtz Centre for Polar &amp; Marine Research</t>
  </si>
  <si>
    <t>Geschaftsstelle Sachverstandigenrates Umweltfrage, Reichpietschufer 60, D-10785 Berlin, Germany.</t>
  </si>
  <si>
    <t>markus.salomon@uba.de</t>
  </si>
  <si>
    <t>Saborowski, Reinhard/0000-0003-0289-6501</t>
  </si>
  <si>
    <t>10.1016/j.jembe.2005.10.006</t>
  </si>
  <si>
    <t>032BJ</t>
  </si>
  <si>
    <t>WOS:000236748600009</t>
  </si>
  <si>
    <t>van As, D; van den Broeke, MR; Helsen, MM</t>
  </si>
  <si>
    <t>Structure and dynamics of the summertime atmospheric boundary layer over the Antarctic Plateau: 1. Measurements and model validation</t>
  </si>
  <si>
    <t>RESCALING HUMIDITY SENSORS; SURFACE-ENERGY BALANCE; TEMPERATURES WELL; SCALAR TRANSFER; ICE SHELF; LAND; SNOW</t>
  </si>
  <si>
    <t>[1] Profile mast, tethersonde and radiosonde measurements are used to describe the structure and dynamics of the summertime atmospheric boundary layer over the slightly sloping snow surface at Kohnen base (75 degrees 00'S, 0 degrees 04'E, 2892 m above sea level), located on the interior plateau of East Antarctica. During a 4-day clear-sky period at the end of summer, we found a shallow but dynamic boundary layer. Net radiation contributed between - 40 and + 35 W m(-2) to the surface energy balance and was negative on average; the sensible and latent heat fluxes contributed less than 10 W m(-2) and 1 W m(-2), respectively; the subsurface heat flux mostly counteracted the radiative flux. Owing to nighttime radiative cooling at the surface an increasingly deep stable layer formed with a temperature deficit of over 12 K. Within this layer we observed a katabatically driven low-level jet which increased in altitude from 20 to 70 m during the night and persisted up to noon. By that time a shallow mixed layer was deepening and warming underneath the stable layer. The mixed layer obtained a maximum depth of 70 m halfway through the afternoon. During the experiment the ABL was near saturation. The observations were used to validate a one-dimensional atmospheric boundary layer model.</t>
  </si>
  <si>
    <t>Univ Utrecht, Inst Marine &amp; Atmospher Res Utrecht IMAU, NL-3508 TA Utrecht, Netherlands</t>
  </si>
  <si>
    <t>Utrecht University</t>
  </si>
  <si>
    <t>Univ Utrecht, Inst Marine &amp; Atmospher Res Utrecht IMAU, POB 80000, NL-3508 TA Utrecht, Netherlands.</t>
  </si>
  <si>
    <t>d.vanas@phys.uu.nl</t>
  </si>
  <si>
    <t>Van den Broeke, Michiel R./F-7867-2011</t>
  </si>
  <si>
    <t>Van den Broeke, Michiel R./0000-0003-4662-7565; van As, Dirk/0000-0002-6553-8982</t>
  </si>
  <si>
    <t>D7</t>
  </si>
  <si>
    <t>D07102</t>
  </si>
  <si>
    <t>10.1029/2005JD005948</t>
  </si>
  <si>
    <t>033VT</t>
  </si>
  <si>
    <t>WOS:000236880200003</t>
  </si>
  <si>
    <t>van As, D; van den Broeke, MR</t>
  </si>
  <si>
    <t>Structure and dynamics of the summertime atmospheric boundary layer over the Antarctic Plateau: 2. Heat, moisture, and momentum budgets</t>
  </si>
  <si>
    <t>SURFACE WIND-FIELD; ICE SHELF; DIURNAL-VARIATION; KATABATIC WINDS; ENERGY-BALANCE; ADELIE LAND; MODEL; STATION; SEA</t>
  </si>
  <si>
    <t>[1] This paper presents the summertime budgets of heat, moisture and momentum in the atmospheric boundary layer at Kohnen base (75 degrees 000S, 0 degrees 040E, 2892 m above sea level), located in the interior of East Antarctica. For this purpose we performed a model simulation for clear-sky conditions and constant large-scale forcing, using a high-resolution one-dimensional atmospheric model which has been validated by observations ( see van As et al., 2006). Turbulent exchange is the dominant component in the heat budget, heating the daytime well-mixed layer by a maximum of 1.0 K h(-1). Radiative heating and cooling are important, and are largest near the surface and just above and below the large temperature and humidity gradients of the nighttime stable layer. Vertical heat advection, which is introduced by the wind speed component along the slope, is the smallest heat-budget component in the atmospheric boundary layer, but becomes significant above it. The same is valid for vertical advection in the moisture budget, which is again dominated by turbulent exchange in the atmospheric boundary layer. The model generates solid precipitation ( diamond dust) in the nighttime stable boundary layer. In the stable layer the temperature deficit with respect to the free atmosphere can be larger than 10 K, forcing a relatively large katabatic acceleration ( up to 2.7 m s(-1) h(-1)). Katabatic forcing is chiefly opposed by turbulent momentum transfer ( friction). The katabatic forcing decreases with height but is nonzero above the atmospheric boundary layer. In the nighttime stable layer we find a jet which is chiefly forced by katabatics, and in the residual layer above it we find alternating wind maxima and minima as a result of an inertial oscillation.</t>
  </si>
  <si>
    <t>D07103</t>
  </si>
  <si>
    <t>10.1029/2005JD006956</t>
  </si>
  <si>
    <t>WOS:000236880200006</t>
  </si>
  <si>
    <t>Best, PB</t>
  </si>
  <si>
    <t>Best, P. B.</t>
  </si>
  <si>
    <t>The presence of right whales in summer on the West Coast of South Africa: the evidence from historical records</t>
  </si>
  <si>
    <t>AFRICAN JOURNAL OF MARINE SCIENCE</t>
  </si>
  <si>
    <t>Eubalaena australis; history; right whale; south Africa; West Coast</t>
  </si>
  <si>
    <t>Conventionally, southern right whales Eubalaena australis are portrayed as spending the summer on feeding grounds in the Antarctic and the winter on breeding grounds in coastal waters of the southern continents. Historical whaling records challenge this perception in the case of the Cape of Good Hope whaling ground, where substantial catches were made earlier and later in the year as well as in winter. The hypothesis that these might in part represent whales on migration to and from Namibia is examined in this paper through the use of historical evidence, including the journals of two vessels operating in the region under the French flag in the 1788/89 and 1791/92 seasons. An episode of catching in the St Helena Bay/Saldanha Bay area between 1787/88 and 1791192 that may have accounted for as many as 1780 whales was followed by a shift of effort to the Walvis Bay ground in Namibia. If this represented local depletion, it would suggest that whales off the Western Cape were from a different population component to those off Namibia.</t>
  </si>
  <si>
    <t>Univ Pretoria, Mammal Res Inst, ZA-0002 Pretoria, South Africa</t>
  </si>
  <si>
    <t>University of Pretoria</t>
  </si>
  <si>
    <t>Best, PB (corresponding author), Univ Pretoria, Mammal Res Inst, ZA-0002 Pretoria, South Africa.</t>
  </si>
  <si>
    <t>pbest@iziko.org.za</t>
  </si>
  <si>
    <t>NATL INQUIRY SERVICES CENTRE PTY LTD</t>
  </si>
  <si>
    <t>GRAHAMSTOWN</t>
  </si>
  <si>
    <t>19 WORCESTER STREET, PO BOX 377, GRAHAMSTOWN 6140, SOUTH AFRICA</t>
  </si>
  <si>
    <t>1814-232X</t>
  </si>
  <si>
    <t>1814-2338</t>
  </si>
  <si>
    <t>AFR J MAR SCI</t>
  </si>
  <si>
    <t>Afr. J. Mar. Sci.</t>
  </si>
  <si>
    <t>APR</t>
  </si>
  <si>
    <t>10.2989/18142320609504140</t>
  </si>
  <si>
    <t>049AI</t>
  </si>
  <si>
    <t>WOS:000237987300013</t>
  </si>
  <si>
    <t>de Bruyn, PJN; Hofmeyr, GJG; de Villiers, MS</t>
  </si>
  <si>
    <t>de Bruyn, P. J. N.; Hofmeyr, G. J. G.; de Villiers, M. S.</t>
  </si>
  <si>
    <t>First record of a vagrant Commerson's dolphin, Cephalorhynchus commersonii, at the southern African continental shelf</t>
  </si>
  <si>
    <t>AFRICAN ZOOLOGY</t>
  </si>
  <si>
    <t>Cephalorhynchus commersonii; vagrant; distribution; South Africa</t>
  </si>
  <si>
    <t>KERGUELEN ISLANDS; LACEPEDE; PIGMENTATION; POPULATION; MORBIHAN; GULF</t>
  </si>
  <si>
    <t>Commerson's Dolphins Cephalorhynchus commersonii are distributed in two disjunct populations, one around southern South America and the other around the sub-Antarctic Kerguelen Islands. These populations have been shown to be morphologically and genetically distinct and movement between the two populations is unlikely. We report on the sighting of a single specimen over the South African continental shelf on 13 November 2004. To our knowledge this is the first record of this species in South African waters and such a vast distance (over 4000 km) from the known distribution limits.</t>
  </si>
  <si>
    <t>Univ Pretoria, Dept Zool &amp; Entomol, Mammal Res Inst, ZA-0002 Pretoria, South Africa; Univ Cape Town, Dept Stat Sci, Avian Demog Unit, ZA-7701 Rondebosch, South Africa</t>
  </si>
  <si>
    <t>University of Pretoria; University of Cape Town</t>
  </si>
  <si>
    <t>de Bruyn, PJN (corresponding author), Univ Pretoria, Dept Zool &amp; Entomol, Mammal Res Inst, ZA-0002 Pretoria, South Africa.</t>
  </si>
  <si>
    <t>pjndebruyn@zoology.up.ac.za</t>
  </si>
  <si>
    <t>de Bruyn, P. J. Nico/E-4176-2010; Hofmeyr, G. J. Greg/AAV-3286-2020</t>
  </si>
  <si>
    <t>de Bruyn, P. J. Nico/0000-0002-9114-9569; Hofmeyr, G. J. Greg/0000-0003-0283-6058</t>
  </si>
  <si>
    <t>ZOOLOGICAL SOC SOUTHERN AFRICA</t>
  </si>
  <si>
    <t>SCOTTSVILLE</t>
  </si>
  <si>
    <t>AFRICAN ZOOLOGY CIRCULATION OFFICE, UNIV KWAZULU-NATAL, SCHOOL BIOL &amp; CONSERVATION SCI, P B X01, SCOTTSVILLE 3209, SOUTH AFRICA</t>
  </si>
  <si>
    <t>1562-7020</t>
  </si>
  <si>
    <t>2224-073X</t>
  </si>
  <si>
    <t>AFR ZOOL</t>
  </si>
  <si>
    <t>Afr. Zool.</t>
  </si>
  <si>
    <t>10.3377/1562-7020(2006)41[131:FROAVC]2.0.CO;2</t>
  </si>
  <si>
    <t>068HG</t>
  </si>
  <si>
    <t>WOS:000239363200014</t>
  </si>
  <si>
    <t>Hofmeyr, GJG; Bester, MN; Kirkman, SP</t>
  </si>
  <si>
    <t>Hofmeyr, G. J. G.; Bester, M. N.; Kirkman, S. P.</t>
  </si>
  <si>
    <t>Vagrant subantarctic fur seals at Bouvetoya</t>
  </si>
  <si>
    <t>Arctocephalus tropicalis; Bouvetoya; vagrants; subantarctic</t>
  </si>
  <si>
    <t>ISLAND</t>
  </si>
  <si>
    <t>Three vagrant Subantarctic fur seals, Arctocephalus tropicalis, were seen amongst a colony of Antarctic fur seals, A. gazella, at the isolated subantarctic island, Bouvetoya. Possible sources of the vagrants are populations at either Gough Island or the Prince Edward Islands Archipelago.</t>
  </si>
  <si>
    <t>Univ Pretoria, Dept Zool &amp; Entomol, Mammal Res Inst, ZA-0002 Pretoria, South Africa</t>
  </si>
  <si>
    <t>Hofmeyr, GJG (corresponding author), Univ Pretoria, Dept Zool &amp; Entomol, Mammal Res Inst, ZA-0002 Pretoria, South Africa.</t>
  </si>
  <si>
    <t>ghofmeyr@zoology.up.ac.za</t>
  </si>
  <si>
    <t>Kirkman, Stephen/AAA-9139-2021; Bester, Marthán N/E-5387-2010; Hofmeyr, G. J. Greg/AAV-3286-2020</t>
  </si>
  <si>
    <t>Kirkman, Stephen/0000-0001-5428-7375; Hofmeyr, G. J. Greg/0000-0003-0283-6058</t>
  </si>
  <si>
    <t>10.3377/1562-7020(2006)41[145:VSFSAB]2.0.CO;2</t>
  </si>
  <si>
    <t>WOS:000239363200018</t>
  </si>
  <si>
    <t>Fajardo-Cavazos, P; Nicholson, W</t>
  </si>
  <si>
    <t>Bacillus endospores isolated from granite:: Close molecular relationships to globally distributed Bacillus spp. from endolithic and extreme environments</t>
  </si>
  <si>
    <t>SPACECRAFT-ASSEMBLY FACILITY; SPORE UV RESISTANCE; BACTERIAL-SPORES; MICROBIAL CHARACTERIZATION; SUBTILIS SPORES; SONORAN DESERT; ROCK VARNISH; SP-NOV.; LITHOPANSPERMIA; PANSPERMIA</t>
  </si>
  <si>
    <t>As part of an ongoing effort to catalog spore-forming bacterial populations in environments conducive to interplanetary transfer by natural impacts or by human spaceflight activities, spores of Bacillus spp. were isolated and characterized from the interior of near-subsurface granite rock collected from the Santa Catalina Mountains, AZ. Granite was found to contain similar to 500 cultivable Bacillus spores and similar to 10(4) total cultivable bacteria per gram. Many of the Bacillus isolates produced a previously unreported diffusible blue fluorescent compound. Two strains of eight tested exhibited increased spore UV resistance relative to a standard Bacillus subtilis UV biodosimetry strain. Fifty-six isolates were identified by repetitive extragenic palindromic PCR (rep-PCR) and 16S rRNA gene analysis as most closely related to B. megaterium (15 isolates), B. simplex (23 isolates), B. drentensis (6 isolates), B. niacini (7 isolates), and, likely, a new species related to B. barbaricus (5 isolates). Granite isolates were very closely related to a limited number of Bacillus spp. previously found to inhabit (i) globally distributed endolithic sites such as biodeteriorated murals, stone tombs, underground caverns, and rock concretions and (ii) extreme environments such as Antarctic soils, deep sea floor sediments, and spacecraft assembly facilities. Thus, it appears that the occurrence of Bacillus spp. in endolithic or extreme environments is not accidental but that these environments create unique niches excluding most Bacillus spp. but to which a limited number of Bacillus spp. are specifically adapted.</t>
  </si>
  <si>
    <t>Univ Florida, Dept Microbiol &amp; Cell Sci, Kennedy Space Ctr, FL 32899 USA</t>
  </si>
  <si>
    <t>State University System of Florida; University of Florida; National Aeronautics &amp; Space Administration (NASA); Kennedy Space Center</t>
  </si>
  <si>
    <t>Space Life Sci Lab, Room 201-B,Bldg M6-1025,SLSL, Kennedy Space Ctr, FL 32899 USA.</t>
  </si>
  <si>
    <t>WLN@ufl.edu</t>
  </si>
  <si>
    <t>10.1128/AEM.72.4.2856-2863.2006</t>
  </si>
  <si>
    <t>032BR</t>
  </si>
  <si>
    <t>WOS:000236749400071</t>
  </si>
  <si>
    <t>Quayle, WC; Convey, P</t>
  </si>
  <si>
    <t>Quayle, Wendy C.; Convey, Peter</t>
  </si>
  <si>
    <t>Concentration, molecular weight distribution and neutral sugar composition of DOC in maritime antarctic lakes of differing trophic status</t>
  </si>
  <si>
    <t>AQUATIC GEOCHEMISTRY</t>
  </si>
  <si>
    <t>dissolved neutral sugar; carbohydrates; dissolved organic carbon; Signy Island; eutrophic; mesotrophic; oligotrophic; lakes</t>
  </si>
  <si>
    <t>DISSOLVED ORGANIC-MATTER; TEMPORAL PLANKTON DYNAMICS; BACTERIAL UTILIZATION; SIZE-FRACTIONS; AMAZON-RIVER; CARBON; GROWTH; CARBOHYDRATE; WATER; SEAWATER</t>
  </si>
  <si>
    <t>The molecular weight distributions and hydrolysable neutral sugar composition of dissolved organic carbon (DOC) was investigated in four maritime Antarctic lakes on Signy Island of different trophic status; Heywood Lake (eutrophic), Light Lake (oligo-mesotrophic), Sombre Lake and Moss Lake (both oligotrophic). Tangential flow ultra-filtration (TFU) was used to separate DOC into high molecular weight (HMW; &gt; 1000 Da) and low molecular weight (LMW; &lt; 1000 Da) size fractions. Pulsed amperometric detection-high performance liquid chromatography (PAD-HPLC) was used to determine the hydrolysable neutral sugar molecular composition of each size fraction. Total DOC concentrations defined the trophic trend in the four lakes and ranged from 8 to 303 mu M. The &lt; 1000 Da fraction of all the lakes dominated the DOC distribution, comprising 76% in Light Lake which also had the highest chl-a concentrations. Heywood Lake was relatively enriched in &gt; 1000 Da total organic carbon and had extremely high concentrations of total hydrolysable neutral sugars (11 mu M) corresponding to 43% of total DOC. However, no clear pattern was apparent with regard to lake trophic status and potential sources of DOC, and the measured variations in individual aldose concentration, composition and their various molecular weight fractions.</t>
  </si>
  <si>
    <t>British Antarctic Survey, NERC, Cambridge CB3 0ET, England; CSIRO Land &amp; Water, Griffith, NSW 2680, Australia</t>
  </si>
  <si>
    <t>UK Research &amp; Innovation (UKRI); Natural Environment Research Council (NERC); NERC British Antarctic Survey; Commonwealth Scientific &amp; Industrial Research Organisation (CSIRO)</t>
  </si>
  <si>
    <t>Convey, P (corresponding author), British Antarctic Survey, NERC, High Cross,Madingley Rd, Cambridge CB3 0ET, England.</t>
  </si>
  <si>
    <t>p.convey@bas.ac.uk</t>
  </si>
  <si>
    <t>QUAYLE, WENDY C/Q-3719-2016; QUAYLE, Wendy/D-4634-2011; Convey, Peter/AAV-5728-2020</t>
  </si>
  <si>
    <t>QUAYLE, WENDY C/0000-0003-0622-1915; Convey, Peter/0000-0001-8497-9903</t>
  </si>
  <si>
    <t>1380-6165</t>
  </si>
  <si>
    <t>1573-1421</t>
  </si>
  <si>
    <t>AQUAT GEOCHEM</t>
  </si>
  <si>
    <t>Aquat. Geochem.</t>
  </si>
  <si>
    <t>10.1007/s10498-005-3882-x</t>
  </si>
  <si>
    <t>042AS</t>
  </si>
  <si>
    <t>WOS:000237500000003</t>
  </si>
  <si>
    <t>Jones, SA</t>
  </si>
  <si>
    <t>Jones, S. A.</t>
  </si>
  <si>
    <t>Mesoproterozoic albany-fraser Orogen-related deformation along the southeastern margin of the Yilgarn Craton</t>
  </si>
  <si>
    <t>AUSTRALIAN JOURNAL OF EARTH SCIENCES</t>
  </si>
  <si>
    <t>Albany-Fraser Orogen; Cundeelee Fault; deformation; Mesoproterozoic; transpression; Yilgarn Craton</t>
  </si>
  <si>
    <t>EASTERN-GOLDFIELDS-PROVINCE; GRANITE-GREENSTONE TERRANES; TRANSPRESSIVE SHEAR ZONE; U-PB AGE; WESTERN-AUSTRALIA; GOLD MINERALIZATION; CORAMUP GNEISS; SW AUSTRALIA; MOBILE BELT; EVOLUTION</t>
  </si>
  <si>
    <t>Deformation associated with the Mesoproterozoic Albany-Fraser Orogen of Western Australia extends up to 50 km into the Archaean rocks along the southeastern margin of the Yilgarn Craton. The Albany Fraser Orogeny represents the Mesoproterozoic continent-continent collision of the Yllgarn Craton and the combined East Antarctic and South Australian Cratons. Albany-Fraser Orogen-related deformation (D5a-d) overprints regional D-1 - D-4 structures in the Archaean rocks and the onset of this Proterozoic deformation is marked by open northeast - southwest-plunging folds that formed as a result of northwest-southeast compression during D-5a, A large drag fold developed during D-5b immediately northwest of the Cundeelee Fault, which is the boundary between rocks of Archaean and Proterozoic origin. This fold is associated with the clockwise rotation of D-1 - D-5a structures from the regional north-northwest Archaean structural trend to a local boundary-parallel northeast trend. Continued Proterozoic convergence resulted in the development of an intense boundary-parallel fabric in the Archaean rocks (S-5c). Late cross-cutting conjugate northwest-northeast-striking D-5d structures mark the final stage of Albany-Fraser Orogen-related deformation in the Archaean rocks. A gradual increase in the metamorphic grade of Archaean rocks towards the Yilgarn Craton margin, from greenschist to amphibolite facies, may indicate that uplift of the Yilgarn Craton was associated with the collision, with exposure of deeper crustal material adjacent to the Cundeelee Fault. The clockwise rotation of Archaean rocks adjacent to the boundary indicates that a large component of dextral shear was associated with the Mesoproterozoic collision event. This is consistent with dextral shear-sense indicators in gneisses of the Albany-Fraser Orogen in the Fraser Range.</t>
  </si>
  <si>
    <t>Geol Survey Western Australia, Kalgoorlie Reg Off, Kalgoorlie, WA 6433, Australia</t>
  </si>
  <si>
    <t>Geological Survey of Western Australia</t>
  </si>
  <si>
    <t>Jones, SA (corresponding author), Geol Survey Western Australia, Kalgoorlie Reg Off, POB 1664, Kalgoorlie, WA 6433, Australia.</t>
  </si>
  <si>
    <t>sarah.jones@doir.wa.gov.au</t>
  </si>
  <si>
    <t>0812-0099</t>
  </si>
  <si>
    <t>1440-0952</t>
  </si>
  <si>
    <t>AUST J EARTH SCI</t>
  </si>
  <si>
    <t>Aust. J. Earth Sci.</t>
  </si>
  <si>
    <t>10.1080/08120090500499248</t>
  </si>
  <si>
    <t>042VP</t>
  </si>
  <si>
    <t>WOS:000237559000001</t>
  </si>
  <si>
    <t>Anderson, CB; Griffith, CR; Rosemond, AD; Rozzi, R; Dollenz, O</t>
  </si>
  <si>
    <t>The effects of invasive North American beavers on riparian plant communities in Cape Horn, Chile - Do exotic beavers engineer differently in sub-Antarctic ecosystems?</t>
  </si>
  <si>
    <t>Cape Horn; Castor canadensis; diversity introduced; global change; Nothofagus; sub-Antarctic; wilderness</t>
  </si>
  <si>
    <t>TIERRA-DEL-FUEGO; CASTOR-CANADENSIS; SPECIES RICHNESS; SELECTION; ISLANDS; SCALE</t>
  </si>
  <si>
    <t>North American beavers (Castor canadensis) were introduced into southern South America in 1946. Since that time, their populations have greatly expanded. In their native range, beavers shape riparian ecosystems by selectively feeding on particular plant species, increasing herbaceous richness and creating a distinct plant community. To test their effects as exotic engineers on sub-Antarctic vegetation, we quantified beaver impacts on tree canopy cover and seedling abundance and composition, as well as their impacts on herbaceous species richness, abundance and composition on Navarino island, Cape Horn County, Chile (550S). Beavers significantly reduced forest canopy up to 30 m away from streams, essentially eliminating riparian forests. The tree seedling bank was greatly reduced and seedling species composition was changed by suppressing Nothofagus betuloides and Nothofagus pumilio, but allowing Nothofagus antarctica. Herbaceous richness and abundance almost doubled in meadows. However, unlike beaver effects on North American herbaceous plant communities, much of this richness was due to invasion by exotic plants, and beaver modifications of the meadow vegetation assemblage did not result in a significantly different community, compared to forests. Overall, 42% of plant species were shared between both habitat types. Our results indicate that, as predicted from North American studies, beaver-engineering increased local herbaceous richness. Unlike in their native range, though, they did not create a unique plant community in sub-Antarctic landscapes. Plus, the elimination of Nothofagus forests and their seedling bank and the creation of invasion pathways for exotic plants together threaten one of the world's most pristine temperate forest ecosystems. (c) 2005 Elsevier Ltd. All rights reserved.</t>
  </si>
  <si>
    <t>Univ Georgia, Inst Ecol, Athens, GA 30602 USA; Par Etnobot Omora, Cape Horn County, Chile; Univ Magallanes, Dept Ciencias &amp; Recursos Nat, Punta Arenas, Chile; Univ N Texas, Dept Philosophy &amp; Relig Studies, Denton, TX 76203 USA</t>
  </si>
  <si>
    <t>University System of Georgia; University of Georgia; Universidad de Magallanes; University of North Texas System; University of North Texas Denton</t>
  </si>
  <si>
    <t>Anderson, CB (corresponding author), Univ Georgia, Inst Ecol, Athens, GA 30602 USA.</t>
  </si>
  <si>
    <t>canderson@alumni.unc.edu</t>
  </si>
  <si>
    <t>Anderson, Christopher/V-4882-2019; Rozzi, Ricardo/G-1047-2012; Rosemond, Amy/I-2688-2018</t>
  </si>
  <si>
    <t>Anderson, Christopher/0000-0001-8120-5689; Rozzi, Ricardo/0000-0001-5265-8726; Rosemond, Amy/0000-0003-4299-9353</t>
  </si>
  <si>
    <t>10.1016/j.biocon.2005.10.011</t>
  </si>
  <si>
    <t>023BS</t>
  </si>
  <si>
    <t>WOS:000236100800004</t>
  </si>
  <si>
    <t>Masson-Delmotte, V; Kageyama, M; Braconnot, P; Charbit, S; Krinner, G; Ritz, C; Guilyardi, E; Jouzel, J; Abe-Ouchi, A; Crucifix, M; Gladstone, RM; Hewitt, CD; Kitoh, A; LeGrande, AN; Marti, O; Merkel, U; Motoi, T; Ohgaito, R; Otto-Bliesner, B; Peltier, WR; Ross, I; Valdes, PJ; Vettoretti, G; Weber, SL; Wolk, F; Yu, Y</t>
  </si>
  <si>
    <t>Past and future polar amplification of climate change: climate model intercomparisons and ice-core constraints</t>
  </si>
  <si>
    <t>LAST GLACIAL MAXIMUM; SEA-ICE; SYNERGISTIC FEEDBACKS; SOUTHERN-OCEAN; GREENLAND; TEMPERATURE; SURFACE; SENSITIVITY; VEGETATION; HOLOCENE</t>
  </si>
  <si>
    <t>Climate model simulations available from the PMIP1, PMIP2 and CMIP (IPCC-AR4) intercomparison projects for past and future climate change simulations are examined in terms of polar temperature changes in comparison to global temperature changes and with respect to pre-industrial reference simulations. For the mid-Holocene (MH, 6,000 years ago), the models are forced by changes in the Earth's orbital parameters. The MH PMIP1 atmosphere-only simulations conducted with sea surface temperatures fixed to modern conditions show no MH consistent response for the poles, whereas the new PMIP2 coupled atmosphere-ocean climate models systematically simulate a significant MH warming both for Greenland (but smaller than ice-core based estimates) and Antarctica (consistent with the range of ice-core based range). In both PMIP1 and PMIP2, the MH annual mean changes in global temperature are negligible, consistent with the MH orbital forcing. The simulated last glacial maximum (LGM, 21,000 years ago) to pre-industrial change in global mean temperature ranges between 3 and 7 degrees C in PMIP1 and PMIP2 model runs, similar to the range of temperature change expected from a quadrupling of atmospheric CO2 concentrations in the CMIP simulations. Both LGM and future climate simulations are associated with a polar amplification of climate change. The range of glacial polar amplification in Greenland is strongly dependent on the ice sheet elevation changes prescribed to the climate models. All PMIP2 simulations systematically underestimate the reconstructed glacial-interglacial Greenland temperature change, while some of the simulations do capture the reconstructed glacial-interglacial Antarctic temperature change. Uncertainties in the prescribed central ice cap elevation cannot account for the temperature change underestimation by climate models. The variety of climate model sensitivities enables the exploration of the relative changes in polar temperature with respect to changes in global temperatures. Simulated changes of polar temperatures are strongly related to changes in simulated global temperatures for both future and LGM climates, confirming that ice-core-based reconstructions provide quantitative insights on global climate changes.</t>
  </si>
  <si>
    <t>CEA Saclay, CNRS, UMR 1572, LSCE IPSL, F-91191 Gif Sur Yvette, France; UJF, CNRS, UMR 5183, Lab Glaciol &amp; Geophys Environm, St Martin Dheres, France; Univ Tokyo, Ctr Climate Syst Res, Kashiwa, Chiba 2778568, Japan; Hadley Ctr Climate Predict &amp; Res, Met Off, Exeter EX1 3PB, Devon, England; Univ Bristol, Sch Geog Sci, Bristol BS8 1SS, Avon, England; Meterol Res Inst, Climate Res Dept, Tsukuba, Ibaraki 3050052, Japan; Columbia Univ, Ctr Climate Syst, New York, NY USA; Columbia Univ, NASA Goddard Inst Space Studies, New York, NY USA; IFM GEOMAR, D-24105 Kiel, Germany; JAMSTEC, FRCGC, Yokohama, Kanagawa 2360001, Japan; Natl Ctr Atmospher Res, Climate Change Res, Boulder, CO 80307 USA; Univ Toronto, Dept Phys, Toronto, ON M5S 1A7, Canada; KNMI, Climate Variabil Res, NL-3730 AE De Bilt, Netherlands; Catholic Univ Louvain, Inst Astron &amp; Geophys G Lemaitre, B-1348 Louvain, Belgium; Chinese Acad Sci, Inst Atmospher Phys, LASG, Beijing 10029, Peoples R China</t>
  </si>
  <si>
    <t>Universite Paris Saclay; CEA; Centre National de la Recherche Scientifique (CNRS); Communaute Universite Grenoble Alpes; Universite Grenoble Alpes (UGA); Centre National de la Recherche Scientifique (CNRS); University of Tokyo; Met Office - UK; Hadley Centre; University of Bristol; Meteorological Research Institute - Japan; Columbia University; National Aeronautics &amp; Space Administration (NASA); NASA Goddard Space Flight Center; Goddard Institute for Space Studies; Columbia University; Helmholtz Association; GEOMAR Helmholtz Center for Ocean Research Kiel; Japan Agency for Marine-Earth Science &amp; Technology (JAMSTEC); National Center Atmospheric Research (NCAR) - USA; University of Toronto; Royal Netherlands Meteorological Institute; Universite Catholique Louvain; Chinese Academy of Sciences; Institute of Atmospheric Physics, CAS</t>
  </si>
  <si>
    <t>CEA Saclay, CNRS, UMR 1572, LSCE IPSL, Batiment 701, F-91191 Gif Sur Yvette, France.</t>
  </si>
  <si>
    <t>valerie.masson@cea.fr</t>
  </si>
  <si>
    <t>Marti, Olivier/B-2378-2009; Valdes, Paul/T-2004-2019; Guilyardi, Eric/D-4868-2011; Ohgaito, Rumi/O-7968-2018; Charbit, Sylvie/X-5466-2019; Valdes, Paul J/C-4129-2013; Kitoh, Akio/F-1765-2010; Ross, Ian/C-8766-2011; Peltier, William R./A-1102-2008; Otto-Bliesner, Bette/AAY-7691-2020; Masson-Delmotte, Valerie L/G-1995-2011; Krinner, Gerhard/AAB-8837-2022; Abe-Ouchi, Ayako A/M-6359-2013; Kitoh, Akio/HZH-3587-2023; Yu, Yongqiang/K-7808-2012; Krinner, Gerhard/A-6450-2011; LeGrande, Allegra N./D-8920-2012; Kageyama, Masa/F-2389-2010; Gladstone, Rupert/C-1086-2013</t>
  </si>
  <si>
    <t>Marti, Olivier/0000-0002-8246-5578; Valdes, Paul/0000-0002-1902-3283; Guilyardi, Eric/0000-0002-2255-8625; Masson-Delmotte, Valerie L/0000-0001-8296-381X; Krinner, Gerhard/0000-0002-2959-5920; Abe-Ouchi, Ayako A/0000-0003-1745-5952; Yu, Yongqiang/0000-0001-8596-3583; Ohgaito, Rumi/0000-0002-5717-1594; Ritz, Catherine/0000-0003-0785-8571; Vettoretti, Guido/0000-0002-0272-0488; LeGrande, Allegra N./0000-0002-5295-0062; Kageyama, Masa/0000-0003-0822-5880; Hewitt, Chris/0000-0002-4718-4009; Ross, Ian/0009-0004-3099-447X; Gladstone, Rupert/0000-0002-1582-3857</t>
  </si>
  <si>
    <t>10.1007/s00382-005-0081-9</t>
  </si>
  <si>
    <t>019VW</t>
  </si>
  <si>
    <t>WOS:000235865800005</t>
  </si>
  <si>
    <t>Campbell, H; Egginton, S; Peck, L; Fraser, K</t>
  </si>
  <si>
    <t>Campbell, H.; Egginton, S.; Peck, L.; Fraser, K.</t>
  </si>
  <si>
    <t>Vagally mediated heart rates in fish: an evolutionary flexible strategy</t>
  </si>
  <si>
    <t>COMPARATIVE BIOCHEMISTRY AND PHYSIOLOGY A-MOLECULAR &amp; INTEGRATIVE PHYSIOLOGY</t>
  </si>
  <si>
    <t>[Campbell, H.; Egginton, S.] Univ Birmingham, Birmingham B15 2TT, W Midlands, England; [Peck, L.; Fraser, K.] British Antarctic Survey, Cambridge CB3 0ET, England</t>
  </si>
  <si>
    <t>1095-6433</t>
  </si>
  <si>
    <t>COMP BIOCHEM PHYS A</t>
  </si>
  <si>
    <t>Comp. Biochem. Physiol. A-Mol. Integr. Physiol.</t>
  </si>
  <si>
    <t>S63</t>
  </si>
  <si>
    <t>Biochemistry &amp; Molecular Biology; Physiology; Zoology</t>
  </si>
  <si>
    <t>V44GR</t>
  </si>
  <si>
    <t>WOS:000202991700069</t>
  </si>
  <si>
    <t>Clark, M; Fraser, K; Peck, L</t>
  </si>
  <si>
    <t>Clark, M.; Fraser, K.; Peck, L.</t>
  </si>
  <si>
    <t>The heat shock response in Antarctic marine organisms</t>
  </si>
  <si>
    <t>[Clark, M.; Fraser, K.; Peck, L.] British Antarctic Survey, Cambridge, England</t>
  </si>
  <si>
    <t>S129</t>
  </si>
  <si>
    <t>WOS:000202991700272</t>
  </si>
  <si>
    <t>Egginton, S; Campbell, H; Axelsson, M; Davison, W</t>
  </si>
  <si>
    <t>Egginton, S.; Campbell, H.; Axelsson, M.; Davison, W.</t>
  </si>
  <si>
    <t>Baroreceptor sensitivity of Antarctic fishes-cardiovascular control in extreme hypothermia</t>
  </si>
  <si>
    <t>[Egginton, S.; Campbell, H.] Univ Birmingham, Birmingham B15 2TT, W Midlands, England; [Axelsson, M.] Univ Gothenburg, Gothenburg, Sweden; [Davison, W.] Univ Canterbury, Canterbury, New Zealand</t>
  </si>
  <si>
    <t>University of Birmingham; University of Gothenburg; University of Canterbury</t>
  </si>
  <si>
    <t>Axelsson, Michael/D-1412-2009</t>
  </si>
  <si>
    <t>S71</t>
  </si>
  <si>
    <t>WOS:000202991700092</t>
  </si>
  <si>
    <t>Borsa, P</t>
  </si>
  <si>
    <t>Marine mammal strandings in the New Caledonia region, Southwest Pacific</t>
  </si>
  <si>
    <t>COMPTES RENDUS BIOLOGIES</t>
  </si>
  <si>
    <t>BOTTLE-NOSED DOLPHINS; TURSIOPS-ADUNCUS; AUSTRALIA; WHALES; SEQUENCES</t>
  </si>
  <si>
    <t>Four hundred twenty three marine mammals, in 72 stranding events, were recorded between 1877 and 2005 in New Caledonia, the Loyalty Islands, and Vanuatu in the southwest Pacific. Sixteen species were represented in this count, including: minke whale, Balaenoptera acutorostrata (1 single stranding), sei whale, B. borealis (1 single stranding), blue whale, B. musculus (1 single stranding), humpback whale, Megaptera novaeangliae (2 single strandings), giant sperm whale, Physeter macrocephalus (18 single strandings, 2 pair strandings), pygmy sperm whale, Kogia breviceps (5 single strandings), dwarf sperm whale, K. sima (2 single strandings, I triple stranding), Blainville's beaked whale, Mesoplodon densirostris (2 single strandings), short-finned pilot whale, Globicephala macrorhynchus (4 strandings, 56 individuals), melon-headed whale, Peponocephala electra (I single stranding and 2 mass strandings totalling 231 individuals), common dolphin, Delphinus delphis (1 single stranding), spinner dolphin, Stenella longirostris (1 pair stranding and 2 mass strandings of groups of similar to 30 individuals each), Indian Ocean bottlenose dolphin, Tursiops aduncus (2 single strandings), dugong, Dugong dugon (14 single strandings), and New Zealand fur seal, Arctocephalus forsteri (3 single strandings). A stranded rorqual identified as an Antarctic minke whale (B. bonaerensis), with coloration patterns that did not match known descriptions, was also reported. Sei whale was recorded for the first time in the tropical Southwest Pacific region and Antarctic minke whale, melon-headed whale, and Indian Ocean bottlenose dolphin were recorded for the first time in New Caledonia. Strandings of sperm whales were most frequent in the spring, but also occurred in autumn months, suggesting a seasonal pattern of occurrence possibly related to seasonal migration. One stranded humpback whale bore the scars of a killer whale's attack and one dugong was injured by a shark. Scars left by propellers were noted on several stranded animals including one Antarctic minke whale, one pygmy sperm whale, one dwarf sperm whale, and four dugongs. Collisions with vessels were suspected to be a frequent cause of death for dugong.</t>
  </si>
  <si>
    <t>Inst Rech Dev, Dept Ressources Vivantes, Noumea 98848, New Caledonia</t>
  </si>
  <si>
    <t>Institut de Recherche pour le Developpement (IRD)</t>
  </si>
  <si>
    <t>Borsa, P (corresponding author), Inst Rech Dev, Dept Ressources Vivantes, BP A5, Noumea 98848, New Caledonia.</t>
  </si>
  <si>
    <t>philippe.borsa@noumea.ird.nc</t>
  </si>
  <si>
    <t>Borsa, Philippe/AAC-7915-2019</t>
  </si>
  <si>
    <t>Borsa, Philippe/0000-0001-9469-8304</t>
  </si>
  <si>
    <t>ELSEVIER FRANCE-EDITIONS SCIENTIFIQUES MEDICALES ELSEVIER</t>
  </si>
  <si>
    <t>23 RUE LINOIS, 75724 PARIS, FRANCE</t>
  </si>
  <si>
    <t>1631-0691</t>
  </si>
  <si>
    <t>CR BIOL</t>
  </si>
  <si>
    <t>C. R. Biol.</t>
  </si>
  <si>
    <t>10.1016/j.crvi.2006.01.004</t>
  </si>
  <si>
    <t>042CU</t>
  </si>
  <si>
    <t>Green Submitted, Green Published</t>
  </si>
  <si>
    <t>WOS:000237505700009</t>
  </si>
  <si>
    <t>Pattyn, F</t>
  </si>
  <si>
    <t>GRANTISM:: An Excel™ model for Greenland and Antarctic ice-sheet response to climate changes</t>
  </si>
  <si>
    <t>COMPUTERS &amp; GEOSCIENCES</t>
  </si>
  <si>
    <t>Antarctica; Greenland; ice-sheet model; spreadsheet; climate change</t>
  </si>
  <si>
    <t>STEADY-STATE; MASS-BALANCE; EVOLUTION; FLOW</t>
  </si>
  <si>
    <t>Over the last decades, the response of large ice sheets on Earth, such as the Greenland and Antarctic ice sheets, to changes in climate has been successfully simulated with large-scale numerical ice-sheet models. Since these models are highly sophisticated, they are only applicable on the scientific level as they demand a large amount of CPU time. Based on similar physics, a computationally fast flowline model of the Greenland and Antarctic ice sheet is presented here, primarily designed for educational purposes. Using an over-implicit numerical scheme, the model runs fast and behaves in a similar way to changes in background temperature forcing as major ice-sheet models do. A user-friendly interface and the implementation within a common spreadsheet program (Excel (TM)) make the model suitable for the classroom. (c) 2005 Elsevier Ltd. All rights reserved.</t>
  </si>
  <si>
    <t>Vrije Univ Brussel, Dept Geog, WE DGGF, B-1050 Brussels, Belgium</t>
  </si>
  <si>
    <t>Vrije Universiteit Brussel</t>
  </si>
  <si>
    <t>Vrije Univ Brussel, Dept Geog, WE DGGF, Pl 2, B-1050 Brussels, Belgium.</t>
  </si>
  <si>
    <t>fpattyn@vub.ac.be</t>
  </si>
  <si>
    <t>0098-3004</t>
  </si>
  <si>
    <t>1873-7803</t>
  </si>
  <si>
    <t>COMPUT GEOSCI-UK</t>
  </si>
  <si>
    <t>Comput. Geosci.</t>
  </si>
  <si>
    <t>10.1016/j.cageo.2005.06.020</t>
  </si>
  <si>
    <t>Computer Science, Interdisciplinary Applications; Geosciences, Multidisciplinary</t>
  </si>
  <si>
    <t>Computer Science; Geology</t>
  </si>
  <si>
    <t>012EK</t>
  </si>
  <si>
    <t>WOS:000235320800003</t>
  </si>
  <si>
    <t>Bradshaw, CJA; Evans, K; Hindell, MA</t>
  </si>
  <si>
    <t>Mass cetacean strandings - a plea for empiricism</t>
  </si>
  <si>
    <t>WHALES; SITES</t>
  </si>
  <si>
    <t>Charles Darwin Univ, Sch Environm Res, Darwin, NT 0909, Australia; Univ Tasmania, Antarctic Wildlife Res Unit, Sch Zool, Hobart, Tas 7001, Australia</t>
  </si>
  <si>
    <t>Charles Darwin University; University of Tasmania</t>
  </si>
  <si>
    <t>Charles Darwin Univ, Sch Environm Res, Darwin, NT 0909, Australia.</t>
  </si>
  <si>
    <t>corey.bradshaw@cdu.edu.au</t>
  </si>
  <si>
    <t>Hindell, Mark A/K-1131-2013; Hindell, Mark A/C-8368-2013; evans, karen/D-7110-2012; Bradshaw, Corey J. A./A-1311-2008</t>
  </si>
  <si>
    <t>Bradshaw, Corey J. A./0000-0002-5328-7741; Hindell, Mark/0000-0002-7823-7185; Evans, Karen/0000-0003-2205-4264</t>
  </si>
  <si>
    <t>1523-1739</t>
  </si>
  <si>
    <t>10.1111/j.1523-1739.2006.00329.x</t>
  </si>
  <si>
    <t>022OB</t>
  </si>
  <si>
    <t>WOS:000236064200039</t>
  </si>
  <si>
    <t>Sokolov, S; Rintoul, SR; Wienecke, B</t>
  </si>
  <si>
    <t>Sokolov, Serguei; Rintoul, Stephen R.; Wienecke, Barbara</t>
  </si>
  <si>
    <t>Tracking the Polar Front south of New Zealand using penguin dive data</t>
  </si>
  <si>
    <t>Southern Ocean; Antarctic Circumpolar Current; king penguins; phytoplankton; satellite altimetry; fronts</t>
  </si>
  <si>
    <t>ANTARCTIC CIRCUMPOLAR CURRENT; OCEAN FRONTS; VARIABILITY; LOCATION; TASMANIA; FLOW</t>
  </si>
  <si>
    <t>Nearly 36,000 vertical temperature profiles collected by 15 king penguins are used to map oceanographic fronts south of New Zealand. There is good correspondence between Antarctic Circumpolar Current (ACC) front locations derived from temperatures sampled in the upper 150 m along the penguin tracks and front positions inferred using maps of sea surface height (SSH). Mesoscale features detected in the SSH maps from this eddy-rich region are also reproduced in the individual temperature sections based on dive data. The foraging strategy of Macquarie Island king penguins appears to be influenced strongly by oceanographic structure: almost all the penguin dives are confined to the region close to and between the northern and southern branches of the Polar Front. Surface chlorophyll distributions also reflect the influence of the ACC fronts, with the northern branch of the Polar Front marking a boundary between low surface chlorophyll to the north and elevated values to the south. (c) 2006 Elsevier Ltd. All rights reserved.</t>
  </si>
  <si>
    <t>CSIRO, Marine Res &amp; Antarctic Climate &amp; Ecosyst Cooperat, Hobart, Tas 7001, Australia; Australian Antarctic Div, Kingston, Tas, Australia</t>
  </si>
  <si>
    <t>Commonwealth Scientific &amp; Industrial Research Organisation (CSIRO); Australian Antarctic Division</t>
  </si>
  <si>
    <t>Sokolov, S (corresponding author), CSIRO, Marine Res &amp; Antarctic Climate &amp; Ecosyst Cooperat, Hobart, Tas 7001, Australia.</t>
  </si>
  <si>
    <t>Serguei.Sokolov@csiro.au</t>
  </si>
  <si>
    <t>Rintoul, Stephen R/A-1471-2012; Sokolov, Serguei/A-4882-2008</t>
  </si>
  <si>
    <t>Rintoul, Stephen R/0000-0002-7055-9876;</t>
  </si>
  <si>
    <t>10.1016/j.dsr.2005.12.012</t>
  </si>
  <si>
    <t>053LZ</t>
  </si>
  <si>
    <t>WOS:000238307900004</t>
  </si>
  <si>
    <t>Qian, JG; Mopper, K; Kieber, DJ</t>
  </si>
  <si>
    <t>Qian, J. -G.; Mopper, K.; Kieber, D. J.</t>
  </si>
  <si>
    <t>Photochemical production the OH radical in Antarctic waters (vol 48, pg 741, 2001)</t>
  </si>
  <si>
    <t>kmopper@odu.edu</t>
  </si>
  <si>
    <t>Qian, Jiangu/HNI-5376-2023</t>
  </si>
  <si>
    <t>10.1016/j.dsr.2005.12.014</t>
  </si>
  <si>
    <t>WOS:000238307900014</t>
  </si>
  <si>
    <t>Xavier, JC; Tarling, GA; Croxall, JP</t>
  </si>
  <si>
    <t>Determining prey distribution patterns from stomach-contents of satellite-tracked high-predators of the Southern Ocean</t>
  </si>
  <si>
    <t>ECOGRAPHY</t>
  </si>
  <si>
    <t>ALBATROSSES DIOMEDEA-EXULANS; ANTARCTIC POLAR FRONT; WANDERING ALBATROSSES; BIRD-ISLAND; INTERANNUAL VARIATION; CEPHALOPOD PREY; KING PENGUIN; OMMASTREPHIDAE; EXPLOITATION; CHRYSOSTOMA</t>
  </si>
  <si>
    <t>The distribution of many cephalopod, crustacean and fish species in the Southern Ocean, and adjacent waters, is poorly known, particularly during times of the year when research surveys are rare. Analysing the stomach samples of satellite-tracked higher predators has been advocated as a potential method by which such gaps in knowledge can be filled. We examined the viability of this approach through monitoring wandering albatrosses Diomedea exulans at their colony on Bird Island, South Georgia (54 degrees S, 38 degrees W) over the winters (May-July) of 1999 and 2000. At this time, these birds foraged in up to three different water-masses, the Antarctic zone (AZ), the sub-Antarctic zone (SAZ) and the sub-Tropical zone (STZ), which we defined by contemporaneous satellite images of sea surface temperature. A probabilistic model was applied to the tracking and diet data collected from 38 birds to construct a large-scale map of where various prey were captured. Robustness/sensitivity analyses were used to test model assumptions on the time spent foraging and relative catch efficiencies and to evaluate potential biases associated with the model. We were able to predict the distributions of a wide number of cephalopod, crustacean of fish species. We also discovered some of the limitations to using this type of data and proposed ways to rectify these problems.</t>
  </si>
  <si>
    <t>Univ Algarve, Ctr Marine Sci, Campus Gambelas, PT-8000139 Faro, Portugal.</t>
  </si>
  <si>
    <t>JCCX@cantab.net</t>
  </si>
  <si>
    <t>Xavier, José/KFB-6739-2024</t>
  </si>
  <si>
    <t>0906-7590</t>
  </si>
  <si>
    <t>1600-0587</t>
  </si>
  <si>
    <t>Ecography</t>
  </si>
  <si>
    <t>032IB</t>
  </si>
  <si>
    <t>WOS:000236767000013</t>
  </si>
  <si>
    <t>D'Amico, S; Collins, T; Marx, JC; Feller, G; Gerday, C</t>
  </si>
  <si>
    <t>Psychrophilic microorganisms: challenges for life</t>
  </si>
  <si>
    <t>cold adaptation; enzymes; genomics; membrane fluidity; psychrophiles</t>
  </si>
  <si>
    <t>COLD-ADAPTATION; METHANOCOCCOIDES-BURTONII; ANTIFREEZE PROTEIN; GROWTH TEMPERATURES; THERMAL ADAPTATION; ANTARCTIC ARCHAEON; BACTERIUM; ENZYMES; STABILITY; GENOME</t>
  </si>
  <si>
    <t>The ability of psychrophiles to survive and proliferate at low temperatures implies that they have overcome key barriers inherent to permanently cold environments. These challenges include: reduced enzyme activity; decreased membrane fluidity; altered transport of nutrients and waste products; decreased rates of transcription, translation and cell division; protein cold- denaturation; inappropriate protein folding; and intracellular ice formation. Cold- adapted organisms have successfully evolved features, genotypic and/ or phenotypic, to surmount the negative effects of low temperatures and to enable growth in these extreme environments. In this review, we discuss the current knowledge of these adaptations as gained from extensive biochemical and biophysical studies and also from genomics and proteomics.</t>
  </si>
  <si>
    <t>Univ Liege, Dept Chem B6, Biochem Lab, B-4000 Liege, Belgium</t>
  </si>
  <si>
    <t>Univ Liege, Dept Chem B6, Biochem Lab, B-4000 Liege, Belgium.</t>
  </si>
  <si>
    <t>ch.gerday@ulg.ac.be</t>
  </si>
  <si>
    <t>Collins, Tony/A-3484-2012</t>
  </si>
  <si>
    <t>1469-3178</t>
  </si>
  <si>
    <t>10.1038/sj.embor.7400662</t>
  </si>
  <si>
    <t>038SO</t>
  </si>
  <si>
    <t>WOS:000237246100010</t>
  </si>
  <si>
    <t>Young, IAG; Pierce, GJ; Stowasser, G; Santos, MB; Wang, J; Boyle, PR; Shaw, PW; Bailey, N; Tuck, I; Collins, MA</t>
  </si>
  <si>
    <t>The Moray Firth directed squid fishery</t>
  </si>
  <si>
    <t>Cephalopod Stock Assessment Workshop</t>
  </si>
  <si>
    <t>AUG 30-31, 2004</t>
  </si>
  <si>
    <t>Imperial Coll, London, ENGLAND</t>
  </si>
  <si>
    <t>Imperial Coll</t>
  </si>
  <si>
    <t>Loligo; squid fishery; Moray Firth</t>
  </si>
  <si>
    <t>LOLIGO-FORBESI; SCOTTISH WATERS; ABUNDANCE</t>
  </si>
  <si>
    <t>In summer 2003, the usually small directed fishery for the squid Loligoforbesi in the Moray Firth off the northeast coast of Scotland (UK) generated unusually high catches. This fishery, which targets small squid close inshore, ultimately involved over 65 boats. The present short paper reviews the history of this fishery, examines trends over the last 35 years and possible future management issues are briefly reviewed. (c) 2006 Elsevier B.V. All rights reserved.</t>
  </si>
  <si>
    <t>Univ Aberdeen, Dept Zool, Aberdeen AB24 2TZ, Scotland; Univ London Royal Holloway &amp; Bedford New Coll, Sch Biol Sci, Egham TW20 0EX, Surrey, England; Marine Lab, Fisheries Res Serv, Aberdeen AB11 9DB, Scotland; British Antarctic Survey, Cambridge CB3 0ET, England</t>
  </si>
  <si>
    <t>University of Aberdeen; University of London; Royal Holloway University London; UK Research &amp; Innovation (UKRI); Natural Environment Research Council (NERC); NERC British Antarctic Survey</t>
  </si>
  <si>
    <t>iagyoung@aol.com</t>
  </si>
  <si>
    <t>, Martin/ABE-6728-2020; Collins, Martin A/J-8560-2017; Pierce, Graham/A-5404-2018</t>
  </si>
  <si>
    <t>, Martin/0000-0001-7132-8650; Stowasser, Gabriele/0000-0002-0595-0772; Pierce, Graham/0000-0002-4744-4501; Tuck, Ian/0000-0002-7014-2077</t>
  </si>
  <si>
    <t>10.1016/j.fishres.2005.12.009</t>
  </si>
  <si>
    <t>029PB</t>
  </si>
  <si>
    <t>WOS:000236574600005</t>
  </si>
  <si>
    <t>Worland, MR; Leinaas, HP; Chown, SL</t>
  </si>
  <si>
    <t>Worland, M. R.; Leinaas, H. P.; Chown, S. L.</t>
  </si>
  <si>
    <t>Supercooling point frequency distributions in Collembola are affected by moulting</t>
  </si>
  <si>
    <t>FUNCTIONAL ECOLOGY</t>
  </si>
  <si>
    <t>Collembola; Ceratophysella denticulata; feeding; starvation; stratification; supercooling</t>
  </si>
  <si>
    <t>INSECT COLD-HARDINESS; CLIMATIC VARIABILITY; TOLERANCE; FREEZE; ADAPTATIONS; STRATEGIES; PHYSIOLOGY; BACTERIA; ISLAND; MITES</t>
  </si>
  <si>
    <t>Many arthropods depress the freezing point of their body fluids (supercool) to avoid freezing at subzero temperatures. This is normally a seasonal response and is achieved by the production of specific biomolecules including cryoprotectants, a cessation in feeding, and the removal or masking of ice-nucleating material from their bodies. In springtails, the mid-gut is shed during moulting which results in the complete evacuation of the gut and a concomitant reduction in the supercooling point (SCP). We determined whether this non-adaptive explanation could account for the variability observed in the SCP of summer-acclimatized springtails. Moult preparation resulted in a highly significant reduction in the SCP. Feeding after moulting restored the SCP to previous high levels. Significant differences in SCP between springtails sampled from vegetation and the soil surface, on different days, and at different sites on the same day were also documented, demonstrating that not all variation in SCP is environmentally induced. Investigations of the responses of the SCP to environmental variation in springtails and other arthropods should take into account the effects of moulting before solely adaptive conclusions are drawn.</t>
  </si>
  <si>
    <t>British Antarctic Survey, NERC, Cambridge CB3 0ET, England; Univ Oslo, Dept Biol, Programme Expt Behav &amp; Populat Ecol Res, Oslo, Norway; Univ Stellenbosch, Dept Bot &amp; Zool, Ctr Invas Biol, ZA-7602 Matieland, South Africa</t>
  </si>
  <si>
    <t>UK Research &amp; Innovation (UKRI); Natural Environment Research Council (NERC); NERC British Antarctic Survey; University of Oslo; Stellenbosch University</t>
  </si>
  <si>
    <t>Worland, MR (corresponding author), British Antarctic Survey, NERC, High Cross,Madingley Rd, Cambridge CB3 0ET, England.</t>
  </si>
  <si>
    <t>mrwo@bas.ac.uk</t>
  </si>
  <si>
    <t>Chown, Steven/ABD-7646-2021; Chown, Steven L/H-3347-2011</t>
  </si>
  <si>
    <t>0269-8463</t>
  </si>
  <si>
    <t>1365-2435</t>
  </si>
  <si>
    <t>FUNCT ECOL</t>
  </si>
  <si>
    <t>Funct. Ecol.</t>
  </si>
  <si>
    <t>10.1111/j.1365-2435.2006.01089.x</t>
  </si>
  <si>
    <t>042GZ</t>
  </si>
  <si>
    <t>WOS:000237517400018</t>
  </si>
  <si>
    <t>Clarke, A</t>
  </si>
  <si>
    <t>Clarke, A.</t>
  </si>
  <si>
    <t>Temperature and the metabolic theory of ecology</t>
  </si>
  <si>
    <t>ENTHALPY-ENTROPY COMPENSATION; COLD ADAPTATION; BODY-MASS; ALLOMETRIC CASCADE; GENERAL-MODEL; SCALING LAWS; SIZE; EVOLUTION; PLANTS; FISH</t>
  </si>
  <si>
    <t>Clarke, A (corresponding author), British Antarctic Survey, NERC, High Cross,Madingley Rd, Cambridge CB3 0ET, England.</t>
  </si>
  <si>
    <t>accl@bas.ac.uk</t>
  </si>
  <si>
    <t>NERC [bas010010] Funding Source: UKRI; Natural Environment Research Council [bas010010] Funding Source: researchfish</t>
  </si>
  <si>
    <t>10.1111/j.1365-2435.2006.01109.x</t>
  </si>
  <si>
    <t>WOS:000237517400029</t>
  </si>
  <si>
    <t>Rebesco, M; Camerlenghi, A; Geletti, R; Canals, M</t>
  </si>
  <si>
    <t>Margin architecture reveals the transition to the modern Antarctic ice sheet ca. 3 Ma</t>
  </si>
  <si>
    <t>Antarctic ice sheet; Antarctic Peninsula; reflection seismic data; Occan Drilling Program; late Pliocene; continental margin sedimentation</t>
  </si>
  <si>
    <t>GLACIAL HISTORY; SEA; COLLAPSE; PLIOCENE; NEOGENE; RECORD; CO2</t>
  </si>
  <si>
    <t>Seismic reflection data collected primarily on the continental slope of the Pacific margin of the Antarctic Peninsula after drilling Ocean Drilling Program (ODP) Leg 178 allow us to date a regional change in the style of margin accretion to ca. 3 Ma. Late Pliocene deep erosion of continental shelf and slope, which likely included the emplacement of a megadebris-flow deposit, was followed by prominent growth of steep, relatively stable continental slope prograding wedges, while the deep distal margin sedimentation rate was significantly reduced. A review of the available stratigraphy from Deep Sell Drilling Project-ODP drilling, and correlation with available seismic stratigraphic information, allowed us to recognize comparable changes in terms of age and trends in continental margin evolution in several places around Antarctica. We argue that this late Pliocene architectural change of the Antarctic margin reflects a change in the texture and water content of the sediment delivered by the Antarctic ice sheet following the transition from wet- to dry-based ice regimes. This circum-Antarctic change coincides with the late Pliocene (ca. 3 Ma) global cooling and is proposed as the marker event of the transition to the modern cold polar dry-based Antarctic ice sheet.</t>
  </si>
  <si>
    <t>Ist Nazl Oceanog &amp; Geofis Sperimentale, I-34010 Sgonico, Italy; Univ Barcelona, Dept Estratigraf &amp; Geosci Marines, Inst Catalana Rec &amp; Estudis Avancats, E-08028 Barcelona, Spain; Univ Barcelona, Dept Estratigraf &amp; Geosci Marines, GRC Geosci Marines, E-08028 Barcelona, Spain</t>
  </si>
  <si>
    <t>Istituto Nazionale di Oceanografia e di Geofisica Sperimentale; ICREA; University of Barcelona; University of Barcelona</t>
  </si>
  <si>
    <t>Ist Nazl Oceanog &amp; Geofis Sperimentale, Borgo Grotta Gigante 42-C, I-34010 Sgonico, Italy.</t>
  </si>
  <si>
    <t>Camerlenghi, Angelo/C-8816-2011; Camerlenghi, Angelo/O-1593-2013; Rebesco, Michele/B-7462-2014; Camerlenghi, Angelo/AAG-3852-2019; Canals, Miquel/F-4922-2013</t>
  </si>
  <si>
    <t>Camerlenghi, Angelo/0000-0002-8128-9533; Rebesco, Michele/0000-0002-9492-4081; Camerlenghi, Angelo/0000-0002-8128-9533; Geletti, Riccardo/0000-0002-6574-011X; Canals, Miquel/0000-0001-5267-7601</t>
  </si>
  <si>
    <t>10.1130/G22000.1</t>
  </si>
  <si>
    <t>031TL</t>
  </si>
  <si>
    <t>WOS:000236726900020</t>
  </si>
  <si>
    <t>Dowdeswell, JA; Ottesen, D; Rise, L</t>
  </si>
  <si>
    <t>Flow switching and large-scale deposition by ice streams draining former ice sheets</t>
  </si>
  <si>
    <t>ice streams; Norwegian margin; three-dimensional seismic data; glacial lineations; glacial bedforms</t>
  </si>
  <si>
    <t>MID-NORWEGIAN MARGIN; ANTARCTIC ICE; GLACIAL LINEATIONS; SEDIMENTATION; RECONSTRUCTION; SYSTEM</t>
  </si>
  <si>
    <t>Fast-flowing ice streams are responsible for the bulk of mass transfer through large ice sheets. We use extensive three-dimensional seismic data from the western Norwegian margin to explain how a several-hundred-kilometer-long ice stream has undergone major switching in flow direction from one glaciation to the next. The direction of ice flow is inferred front the pattern of buildup of thousands of cubic kilometers of glacier-derived debris and observations of large-scale streamlined landforms on former subglacial beds. We demonstrate that ice streams can undergo major changes in flow direction through modification of their large-scale topographic setting. Whereas ice-stream switching in modern ice sheets has been regarded mainly as a reflection of internal changes in ice-sheet dynamics, switching over successive 100 k.y. glacial cycles may in this case be a response to the effects of continuing sediment deposition and the large-scale development of ice-influenced continental margins.</t>
  </si>
  <si>
    <t>Univ Cambridge, Scott Polar Res Inst, Cambridge CB2 1ER, England; Geol Survey Norway, N-7491 Trondheim, Norway</t>
  </si>
  <si>
    <t>University of Cambridge; Geological Survey of Norway</t>
  </si>
  <si>
    <t>Natural Environment Research Council [NER/T/S/2003/00318] Funding Source: researchfish</t>
  </si>
  <si>
    <t>10.1130/G22253.1</t>
  </si>
  <si>
    <t>WOS:000236726900023</t>
  </si>
  <si>
    <t>Omelon, CR; Pollard, WH; Ferris, FG</t>
  </si>
  <si>
    <t>Omelon, Christopher R.; Pollard, Wayne H.; Ferris, F. Grant</t>
  </si>
  <si>
    <t>Chemical and ultrastructural characterization of high arctic cryptoendolithic habitats</t>
  </si>
  <si>
    <t>GEOMICROBIOLOGY JOURNAL</t>
  </si>
  <si>
    <t>arctic; biosignatures; cryptoendolithic microorganisms; EPS; ultrastructure</t>
  </si>
  <si>
    <t>ENDOLITHIC MICROORGANISMS; MICROBIAL ENVIRONMENT; SILICA PRECIPITATION; BRITISH-COLUMBIA; FOSSIL FORMATION; ROSS DESERT; IRON; BIOFILMS; LAKE; ANTARCTICA</t>
  </si>
  <si>
    <t>Cryptoendolithic habitats in the Canadian high Arctic are host to a diverse assemblage of microorganisms including cyanobacteria, algae, fungi and heterotrophic bacteria. Communities grow as biofilms attached to mineral surfaces as well as within the open void spaces between grains and in many cases produce extracellular polysaccharides in response to the extreme environmental conditions. In situ observations of the cryptoendolithic habitat as well as ultrastructural examination of microorganisms show that this EPS provides a substrate for accumulation of allochthonous clay particles that enter the system by winds and rain. The lack of evidence for biomineralization within this habitat contrasts with similar environments in the Antarctic Dry Valleys, a consequence of warmer temperatures and wetter conditions that increase erosion rates and subsequent habitat destruction, effectively limiting the time possible for biomineralization by living microorganisms as well as the formation of biosignatures or microfossils.</t>
  </si>
  <si>
    <t>Univ Toronto, Dept Geol, Microbial Geochem Lab, Toronto, ON M5S 3B1, Canada; McGill Univ, Dept Geog, Montreal, PQ H3A 2K6, Canada</t>
  </si>
  <si>
    <t>University of Toronto; McGill University</t>
  </si>
  <si>
    <t>Omelon, CR (corresponding author), Univ Toronto, Dept Geol, Microbial Geochem Lab, 22 Russell St, Toronto, ON M5S 3B1, Canada.</t>
  </si>
  <si>
    <t>omelon@geology.utoronto.ca</t>
  </si>
  <si>
    <t>Omelon, Christopher/B-8520-2011</t>
  </si>
  <si>
    <t>Omelon, Christopher/0000-0003-4563-3189</t>
  </si>
  <si>
    <t>0149-0451</t>
  </si>
  <si>
    <t>1521-0529</t>
  </si>
  <si>
    <t>GEOMICROBIOL J</t>
  </si>
  <si>
    <t>Geomicrobiol. J.</t>
  </si>
  <si>
    <t>APR-JUN</t>
  </si>
  <si>
    <t>10.1080/01490450600724274</t>
  </si>
  <si>
    <t>Environmental Sciences; Geosciences, Multidisciplinary</t>
  </si>
  <si>
    <t>Environmental Sciences &amp; Ecology; Geology</t>
  </si>
  <si>
    <t>081TQ</t>
  </si>
  <si>
    <t>WOS:000240340300006</t>
  </si>
  <si>
    <t>Alley, RB; Dupont, TK; Parizek, BR; Anandakrishnan, S; Lawson, DE; Larson, GJ; Evenson, EB</t>
  </si>
  <si>
    <t>Outburst flooding and the initiation of ice-stream surges in response to climatic cooling: A hypothesis</t>
  </si>
  <si>
    <t>GEOMORPHOLOGY</t>
  </si>
  <si>
    <t>34th Binghamton Geomorphology Symposium</t>
  </si>
  <si>
    <t>OCT 03-05, 2003</t>
  </si>
  <si>
    <t>SUNY Binghamton, Binghamton, NY</t>
  </si>
  <si>
    <t>SUNY Binghamton</t>
  </si>
  <si>
    <t>Heinrich events; Jokulhlaups; ice sheets; ice shelves</t>
  </si>
  <si>
    <t>FREEZE-ON MECHANISM; RICH BASAL ICE; WEST ANTARCTICA; HEINRICH EVENTS; LABRADOR SEA; THERMAL EVOLUTION; SUBGLACIAL LAKES; EAST ANTARCTICA; GLACIER; SHEET</t>
  </si>
  <si>
    <t>Outburst flooding from subglacial reservoirs and associated surging of ice-streams are caused by processes following climatic cooling that produce ice-shelf grounding on proglacial sills trapping subglacial water, according to an hypothesis presented here. Glaciers often advance into proglacial water bodies. Cooling may allow ice-shelf formation and advance causing grounding on a proglacial sill, trapping subglacial water. Ice-shelf freeze-on to the sill and development of a local reversal in ice-air surface slope over the sill then are likely, allowing ice thickening and water overpressurization. If basal thawing then occurs, as is likely, an outburst flood and a surge may be triggered. These processes may have been involved in Heinrich events, generation of Antarctic subglacial lakes, and meltwater scouring of some regions. (c) 2005 Elsevier B.V. All rights reserved.</t>
  </si>
  <si>
    <t>Penn State Univ, Dept Geosci, University Pk, PA 16802 USA; Penn State Univ, EMS Environm Inst, University Pk, PA 16802 USA; Cold Reg Res &amp; Engn Lab, Hanover, NH 03755 USA; Michigan State Univ, Dept Geol Sci, E Lansing, MI 48824 USA; Lehigh Univ, Dept Earth &amp; Environm Sci, Bethlehem, PA 18015 USA</t>
  </si>
  <si>
    <t>Pennsylvania Commonwealth System of Higher Education (PCSHE); Pennsylvania State University; Pennsylvania State University - University Park; Pennsylvania Commonwealth System of Higher Education (PCSHE); Pennsylvania State University; Pennsylvania State University - University Park; United States Department of Defense; United States Army; U.S. Army Corps of Engineers; U.S. Army Engineer Research &amp; Development Center (ERDC); Cold Regions Research &amp; Engineering Laboratory (CRREL); Michigan State University; Lehigh University</t>
  </si>
  <si>
    <t>Penn State Univ, Dept Geosci, University Pk, PA 16802 USA.</t>
  </si>
  <si>
    <t>rba6@psu.edu</t>
  </si>
  <si>
    <t>Anandakrishnan, Sridhar/JCN-5026-2023</t>
  </si>
  <si>
    <t>0169-555X</t>
  </si>
  <si>
    <t>1872-695X</t>
  </si>
  <si>
    <t>Geomorphology</t>
  </si>
  <si>
    <t>10.1016/j.geomorph.2004.01.011</t>
  </si>
  <si>
    <t>037SE</t>
  </si>
  <si>
    <t>WOS:000237166500006</t>
  </si>
  <si>
    <t>Domack, E; Amblàs, D; Gilbert, R; Brachfeld, S; Camerlenghi, A; Rebesco, M; Canals, M; Urgeles, R</t>
  </si>
  <si>
    <t>Subglacial morphology and glacial evolution of the Palmer deep outlet system, Antarctic Peninsula</t>
  </si>
  <si>
    <t>Antarctic Peninsula; Palmer deep; sub-glacial lakes; ice streams glaciation</t>
  </si>
  <si>
    <t>PLEISTOCENE-HOLOCENE RETREAT; SEA-FLOOR EVIDENCE; ICE-SHEET SYSTEM; ROSS SEA; CONTINENTAL-SHELF; WEDDELL SEA; HISTORY; STRATIGRAPHY; DEPOSITS; MAXIMUM</t>
  </si>
  <si>
    <t>The Palmer Deep is an erosional, inner-shelf trough located at the convergence of ice flow from three distinct accumulation centers. It served as a funnel for ice flow out across the continental shelf of the Antarctic Peninsula. Swath mapping of 1440 km(2) Of seafloor in and adjacent to the Palmer Deep basin defines a large paleo-ice stream that flowed 230 km across the Antarctic Peninsula continental shelf during the Last Glacial Maximum (MIS-2). The unique perspective and detail of the Palmer Deep physiography allow us to recognize several phases of erosion and deposition in the outlet basin. These events are uniquely constrained by two ODP drill cores (sites 1099 and 1098) that together recovered over 150 in of latest Pleistocene and Holocene sediment. We divide this region of the continental shelf into three zones based upon mega- to meso-scale bathymetric features and emphasize that all three were part of one glacial outlet during the most recent period of glaciation. These zones include from inner shelf to Outer shelf: the Palmer Deep basin, the Palmer Deep Outlet Sill and the Hugo Island Trough. Specific seafloor features associated with these zones include: relict terraces, sub-glacial lake deltas, channels and levees, debris slopes, spindle out bed forms, mega-scale glacial lineations, morainal banks, and bank breach points. The origin of many of these features can be linked to the development of a subglacial lake basin within the Palmer Deep during or prior to MIS-2, its subsequent drainage, and recession of the Palmer Deep ice stream system. This sub-glacial lake system is reconstructed at the head of a major palco-ice stream. (c) 2005 Elsevier B.V. All rights reserved.</t>
  </si>
  <si>
    <t>Hamilton Coll, Dept Geol, Clinton, NY 13323 USA; Univ Barcelona, Dept Stratig Paleontol &amp; Marine Geosci, Barcelona 08028, Spain; Queens Univ, Dept Geog, Kingston, ON K7L 3N6, Canada; Montclair State Univ, Montclair, NJ 07043 USA; Ist Nazl Oceanog &amp; Geofis Sperimentale, Trieste, Italy</t>
  </si>
  <si>
    <t>Hamilton College; University of Barcelona; Queens University - Canada; Montclair State University; Istituto Nazionale di Oceanografia e di Geofisica Sperimentale</t>
  </si>
  <si>
    <t>Hamilton Coll, Dept Geol, Clinton, NY 13323 USA.</t>
  </si>
  <si>
    <t>edomack@hamilton.edu</t>
  </si>
  <si>
    <t>Urgeles, Roger/A-9231-2010; Camerlenghi, Angelo/C-8816-2011; Rebesco, Michele/B-7462-2014; Camerlenghi, Angelo/AAG-3852-2019; Camerlenghi, Angelo/O-1593-2013; Amblas, David/A-5482-2015; Canals, Miquel/F-4922-2013</t>
  </si>
  <si>
    <t>Urgeles, Roger/0000-0001-9438-1753; Rebesco, Michele/0000-0002-9492-4081; Camerlenghi, Angelo/0000-0002-8128-9533; Camerlenghi, Angelo/0000-0002-8128-9533; Amblas, David/0000-0002-6248-5512; Brachfeld, Stefanie/0000-0003-4612-2866; Canals, Miquel/0000-0001-5267-7601</t>
  </si>
  <si>
    <t>10.1016/j.geomorph.2004.06.013</t>
  </si>
  <si>
    <t>WOS:000237166500009</t>
  </si>
  <si>
    <t>Hall, BL; Hendy, CH; Denton, GH</t>
  </si>
  <si>
    <t>Lake-ice conveyor deposits: Geomorphology, sedimentology, and importance in reconstructing the glacial history of the Dry Valleys</t>
  </si>
  <si>
    <t>lake-ice conveyor; Antarctica; dry valleys; proglacial lakes</t>
  </si>
  <si>
    <t>LEVEL ANTARCTIC LAKE; PROGLACIAL LAKE; VICTORIA VALLEY; ROSS SEA; SHEET; CHRONOLOGY; MAXIMUM; DRIFT</t>
  </si>
  <si>
    <t>During the last glacial maximum (LGM), lake-ice conveyors transported glacial debris across the surface of large proglacial lakes in the Dry Valleys region of Antarctica. The resulting sediments and landform assemblages are keys to interpreting the glacial history of the Dry Valleys and, potentially, other areas of Antarctica. Paleoconveyor deposits occur in Taylor, Miers, Wright, and Victoria Valleys, as well as in many other parts of the region. Sediments typically consist of stratified to massive sand and/or silt grading upward into poorly sorted gravel, cobbles, and boulders. These sediments make up a variety of landforms, including mounds and moat line, cross-valley, and longitudinal ridges. The classic landform assemblage also displays an associated moraine bank, as well as deltas and shorelines. (c) 2005 Elsevier B.V. All rights reserved.</t>
  </si>
  <si>
    <t>Univ Maine, Inst Quaternary &amp; Climate Studies, Orono, ME 04469 USA; Univ Maine, Dept Geol Sci, Orono, ME 04469 USA; Univ Waikato, Dept Chem, Hamilton, New Zealand</t>
  </si>
  <si>
    <t>University of Maine System; University of Maine Orono; University of Maine System; University of Maine Orono; University of Waikato</t>
  </si>
  <si>
    <t>Univ Maine, Inst Quaternary &amp; Climate Studies, Orono, ME 04469 USA.</t>
  </si>
  <si>
    <t>brendah@maine.edu; CRENDY@Waikato.ac.nz; debbies@maine.edu</t>
  </si>
  <si>
    <t>10.1016/j.geomorph.2004.11.025</t>
  </si>
  <si>
    <t>WOS:000237166500010</t>
  </si>
  <si>
    <t>Wellner, JS; Heroy, DC; Anderson, JB</t>
  </si>
  <si>
    <t>The death mask of the Antarctic Ice Sheet: Comparison of glacial geomorphic features across the continental shelf</t>
  </si>
  <si>
    <t>glacial geomorphology; Antarctica; Ice Sheet; swath bathymetry; mega-scale glacial lineations</t>
  </si>
  <si>
    <t>SEA-FLOOR EVIDENCE; CANADIAN SHIELD; HISTORY; STREAMS; SYSTEM; SEDIMENTATION; LINEATIONS; MORPHOLOGY; EVOLUTION; DYNAMICS</t>
  </si>
  <si>
    <t>Multibeam swath bathymetry data, seismic lines, and shallow cores were collected seaward of all of the major drainage outlets of the Antarctic Ice Sheet from the Pennell Coast of North Victoria Land to the northwestern Weddell Sea. The results show that during the last glacial maximum, the ice sheet extended onto the outer shelf in all areas, to the shelf break in many. Swath bathymetry and deep-tow sidescan sonar data from the continental shelf also record the geornorphology left by the retreating ice sheet. Glacial troughs occur offshore of all major glacial outlets. In each drainage area except for parts of the Ross Sea, the inner shelf is characterized by acoustic basement interpreted as crystalline substrate. The geornorphology of these inner shelf areas consists of erosional features such as grooves that show that ice flow tended to follow the structural grain of the bedrock. Outer shelf areas are floored by sedimentary substrate where the direction of ice flow was more directly offshore and depositional features characterize the seafloor. In these areas the signature of the grounded ice consists of till deposits and large-scale geomorphic features, mega-scale glacial lineations. Drumlins occur within the region of contact between crystalline and sedimentary substrates. Melt-water channels also have been imaged in both inner and outer shelf settings. While the presence of meltwater across the shelf has long been suspected, we present here the first multibeam image of a meltwater channel on the outer continental shelf of Antarctica. At the shelf break gullies are in all areas where we know ice reached the shelf break. We note the remarkable similarity in form of mega-scale glacial lineations observed on the outer shelf over sedimentary substrate across all areas surveyed, typically measuring 200-600 m crest to crest. This suggests that the shape of these landforms is governed by the same process in each drainage area and that process was occurring under a large area of the ice sheet. The erosional and transitional features show much variability in form and distribution. (c) 2005 Elsevier B.V All rights reserved.</t>
  </si>
  <si>
    <t>Rice Univ, Dept Earth Sci, Houston, TX 77005 USA</t>
  </si>
  <si>
    <t>Rice University</t>
  </si>
  <si>
    <t>Rice Univ, Dept Earth Sci, Houston, TX 77005 USA.</t>
  </si>
  <si>
    <t>Jksmith@rice.edu</t>
  </si>
  <si>
    <t>Anderson, John/B-1011-2012</t>
  </si>
  <si>
    <t>10.1016/j.geomorph.2005.05.015</t>
  </si>
  <si>
    <t>WOS:000237166500011</t>
  </si>
  <si>
    <t>Catalán, M; Agudo, LM; Muñoz, A</t>
  </si>
  <si>
    <t>Catalan, M.; Agudo, L. M.; Munoz, Alfonso</t>
  </si>
  <si>
    <t>Geomagnetic secular variation of Bransfield Strait (Western Antarctica) from analysis of marine crossover data</t>
  </si>
  <si>
    <t>Antarctica; geomagnetic secular variation; magnetic anomalies; volcanic activity</t>
  </si>
  <si>
    <t>SOUTH SHETLAND ISLANDS; UPPER CRUSTAL STRUCTURE; DECEPTION-ISLAND; BACKARC BASIN; PENINSULA; GRAVITY; VOLCANO; JERK; EVOLUTION; EXTENSION</t>
  </si>
  <si>
    <t>Tracking the secular variation of the geomagnetic field in the past is severely limited in some cases by factors relating to the remoteness of the sites. This is maximal in the Antarctic where the remote location and severe climate lead to logistic limitations that make it difficult to keep a continuous record of magnetic field variations. From the magnetic information available from historical marine expeditions, it is possible to infer this time-varying component from the comparison of readings at crossovers. This study focuses on this technique, discusses the impact of the different error sources and proposes a simple mathematical procedure to infer average secular variation rates. The result is validated by comparing it with local data from the Arctowski and Livingston magnetic observatories, sited in the area. Additionally, using a high-quality data set from a local area in the neighbourhood of Deception Island, we have detected a systematic distribution in its secular variation. This dichotomy has been interpreted in terms of a volcano-magnetic signal. This fact and the nature of its principal mechanisms are analysed and discussed.</t>
  </si>
  <si>
    <t>Real Inst &amp; Observ Armada, E-11000 Cadiz, Spain; Univ Complutense Madrid, Fac Ciencias Geol, Dept Geodinam, E-28040 Madrid, Spain</t>
  </si>
  <si>
    <t>Complutense University of Madrid</t>
  </si>
  <si>
    <t>Catalán, M (corresponding author), Real Inst &amp; Observ Armada, E-11000 Cadiz, Spain.</t>
  </si>
  <si>
    <t>mcatalan@roa.es</t>
  </si>
  <si>
    <t>Catalan, Manuel/R-6956-2018</t>
  </si>
  <si>
    <t>Catalan, Manuel/0000-0001-9691-7101</t>
  </si>
  <si>
    <t>10.1111/j.1365-246X.2006.02877.x</t>
  </si>
  <si>
    <t>072RA</t>
  </si>
  <si>
    <t>WOS:000239689500008</t>
  </si>
  <si>
    <t>Whitehead, JM; Ehrmann, W; Harwood, DM; Hillenbrand, CD; Quilty, PG; Hart, C; Taviani, M; Thorn, V; McMinn, A</t>
  </si>
  <si>
    <t>Whitehead, Jason M.; Ehrmann, Werner; Harwood, David M.; Hillenbrand, Claus-Dieter; Quilty, Patrick G.; Hart, Charles; Taviani, Marco; Thorn, Vanessa; McMinn, Andrew</t>
  </si>
  <si>
    <t>Late Miocene paleoenvironment of the Lambert Graben embayment, East Antarctica, evident from: Mollusc paleontology, sedimentology and geochemistry</t>
  </si>
  <si>
    <t>GLOBAL AND PLANETARY CHANGE</t>
  </si>
  <si>
    <t>Battye Glacier Formation; Amery Oasis; mollusc; fjord; East Greenland</t>
  </si>
  <si>
    <t>PRINCE-CHARLES-MOUNTAINS; CENOZOIC-PAGODROMA-GROUP; ICE-SHEET; TRANSANTARCTIC MOUNTAINS; SURFACE SEDIMENTS; BIOGENIC SILICA; AMERY OASIS; SEA; HOLOCENE; EVOLUTION</t>
  </si>
  <si>
    <t>The Upper Miocene (10.7-9.0 Ma) Battye Glacier Formation,vas deposited similar to 250 km inland from the modem Amery Ice Shelf edge in Prydz Bay, East Antarctica. The composition of clay minerals distinguishes a Lower Member, which reflects regional erosion of Precambrian metamorphic basement, from an Upper Member. which records increased erosion of local Pennian-Triassic Amery Group strata. The Upper Member was deposited in an ice-proximal environment akin to the modem fjords of East Greenland, with substantial diamict deposition resulting from melting iceberg, discharge. The Lower Member was deposited in an ice-distal environment and included the accumulation of the fossil-bearing McLeod Beds. The McLeod Beds contain much siliceous biogenic sediment (&lt;= 15% opal), which is rare to absent in the predominantly hemipelagic mud of modem East Greenland fjords. The McLeod Beds also contain largely monospecific in situ Hiatella sp. mollusc assemblages suggestive of environmental stress, potentially caused by low salinity melt-water and a high input of terrigenous sediment. which excluded most other benthic taxa. Geochemical results from primary aragonite in Hiatella shells imply large freshwater input into the marine environment during mollusc growth, causing low delta O-18, Na, Mg and high Fe values. The present study indicates that iceberg melt-water influence entering the marine environment was greater during the Late Miocene than today around Antarctica, and documents the paleoenvironment associated with a discrete period of ice margin retreat and marine incursion into the Lambert embayment. (C) 2006 Elsevier B.V. All rights reserved.</t>
  </si>
  <si>
    <t>Univ Tasmania, Inst Antarctic &amp; So Ocean Studies, Hobart, Tas 7001, Australia; Univ Leipzig, Inst Geol &amp; Geophys, D-04193 Leipzig, Germany; Univ Nebraska, Dept Geosci, Lincoln, NE 68588 USA; Univ Tasmania, Sch Earth Sci, Hobart, Tas 7001, Australia; British Antarctic Survey, Cambridge CB3 0ET, England; Univ Colorado, INSTAAR, Ctr Geochronol Res, Boulder, CO 80309 USA; CNR, Marine Geol Div, ISMAR, I-40129 Bologna, Italy; Victoria Univ Wellington, Antarctic Res Ctr, Wellington, New Zealand</t>
  </si>
  <si>
    <t>University of Tasmania; Leipzig University; University of Nebraska System; University of Nebraska Lincoln; University of Tasmania; UK Research &amp; Innovation (UKRI); Natural Environment Research Council (NERC); NERC British Antarctic Survey; University of Colorado System; University of Colorado Boulder; Consiglio Nazionale delle Ricerche (CNR); Istituto di Scienze Marine (ISMAR-CNR); Victoria University Wellington</t>
  </si>
  <si>
    <t>Whitehead, JM (corresponding author), Univ Tasmania, Inst Antarctic &amp; So Ocean Studies, Private Bag 77, Hobart, Tas 7001, Australia.</t>
  </si>
  <si>
    <t>jason.whitehead@utas.edu.au</t>
  </si>
  <si>
    <t>McMinn, Andrew/A-9910-2008; Taviani, Marco/AAF-2168-2020; CNR, Ismar/P-1247-2014</t>
  </si>
  <si>
    <t>Taviani, Marco/0000-0003-0414-4274; CNR, Ismar/0000-0001-5351-1486; Bowman, Vanessa/0000-0002-4887-3949</t>
  </si>
  <si>
    <t>NERC [bas010013, bas010018] Funding Source: UKRI; Natural Environment Research Council [bas010018, bas010013] Funding Source: researchfish</t>
  </si>
  <si>
    <t>0921-8181</t>
  </si>
  <si>
    <t>1872-6364</t>
  </si>
  <si>
    <t>GLOBAL PLANET CHANGE</t>
  </si>
  <si>
    <t>Glob. Planet. Change</t>
  </si>
  <si>
    <t>10.1016/j.gloplacha.2005.07.003</t>
  </si>
  <si>
    <t>056HG</t>
  </si>
  <si>
    <t>WOS:000238512300001</t>
  </si>
  <si>
    <t>Hilton, GM; Thompson, DR; Sagar, PM; Cuthbert, RJ; Cherel, Y; Bury, SJ</t>
  </si>
  <si>
    <t>A stable isotopic investigation into the causes of decline in a sub-Antarctic predator, the rockhopper penguin Eudyptes chrysocome</t>
  </si>
  <si>
    <t>GLOBAL CHANGE BIOLOGY</t>
  </si>
  <si>
    <t>climate change; primary productivity; sub-Antarctic; delta C-13; delta N-15</t>
  </si>
  <si>
    <t>LONG-TERM CHANGES; ENVIRONMENTAL-CHANGE; POPULATION-DYNAMICS; CAMPBELL-ISLAND; SOUTHERN-OCEAN; CLIMATE-CHANGE; GROWTH-RATE; C-13; CO2; DELTA-C-13</t>
  </si>
  <si>
    <t>The rockhopper penguin (Eudyptes chrysocome) is a conspicuous apex marine predator that has experienced marked population declines throughout most of its circumpolar breeding distribution. The cause(s) for the declines remain elusive, but the relatively large spatio-temporal scale over which population decreases have occurred implies that ecosystem-scale, at-sea factors are likely to be involved. We employ stable isotope analyses of carbon (C-13/C-12, expressed as delta C-13) and nitrogen (N-15/N-14, delta N-15) in time-series of rockhopper penguin feather samples, dating back to 1861, in order to reconstruct the species' ecological history. Specifically, we examine whether rockhopper penguin population decline has been associated with a shift towards lower primary productivity in the ecosystem in which they feed, or with a shift to a diet of lower trophic status and lower quality, and we use long-term temperature records to evaluate whether shifts in isotope ratios are associated with annual variations in sea surface temperature. Having controlled temporally for the Suess Effect and for increases in CO2 concentrations in seawater, we found that overall, delta C-13 signatures decreased significantly over time in rockhopper penguins from seven breeding sites, supporting the hypothesis that decreases in primary productivity, and hence, carrying capacity, for which delta C-13 signature is a proxy, have been associated with the decline of penguin populations. There was some evidence of a long-term decline in delta N-15 at some sites, and strong evidence that delta N-15 signatures were negatively related to sea surface temperatures across sites, indicative of a shift in diet to prey of lower trophic status over time and in warm years. However, a site-by-site analysis revealed divergent isotopic trends among sites: five of seven sites exhibited significant temporal or temperature-related trends in isotope signatures. This study highlights the utility of stable isotope analyses when applied over relatively long timescales to apex predators.</t>
  </si>
  <si>
    <t>Royal Soc Protect Birds, Sandy SG19 2DL, Beds, England; Natl Inst Water &amp; Atmospher Res Ltd, Wellington, New Zealand; Natl Inst Water &amp; Atmospher Res Ltd, Christchurch, New Zealand; Ctr Etud Biol Chize, UPR 1934, CNRS, F-79360 Villiers En Bois, France</t>
  </si>
  <si>
    <t>Royal Society for Protection of Birds; National Institute of Water &amp; Atmospheric Research (NIWA) - New Zealand; National Institute of Water &amp; Atmospheric Research (NIWA) - New Zealand; Centre National de la Recherche Scientifique (CNRS)</t>
  </si>
  <si>
    <t>Royal Soc Protect Birds, Lodge, Sandy SG19 2DL, Beds, England.</t>
  </si>
  <si>
    <t>geoff.hilton@rspb.org.uk</t>
  </si>
  <si>
    <t>Bond, Alexander L/A-3786-2010; Bury, Sarah/JLN-0810-2023; Hilton, Geoff/H-3086-2017</t>
  </si>
  <si>
    <t>Hilton, Geoff/0000-0001-9062-3030</t>
  </si>
  <si>
    <t>1354-1013</t>
  </si>
  <si>
    <t>1365-2486</t>
  </si>
  <si>
    <t>GLOBAL CHANGE BIOL</t>
  </si>
  <si>
    <t>Glob. Change Biol.</t>
  </si>
  <si>
    <t>10.1111/j.1365-2486.2006.01130.x</t>
  </si>
  <si>
    <t>029GT</t>
  </si>
  <si>
    <t>WOS:000236549600001</t>
  </si>
  <si>
    <t>Sun, LG; Yin, XB; Liu, XD; Zhu, RB; Pan, CP; Zhao, YZ; Liu, FM; Jiang, SR; Wang, YH</t>
  </si>
  <si>
    <t>Levels of hexachlorocyclohexanes and dichloro-diphenyl-trichloroethanes in penguin droppings collected from Ardley Island, the maritime Antarctic</t>
  </si>
  <si>
    <t>HUMAN AND ECOLOGICAL RISK ASSESSMENT</t>
  </si>
  <si>
    <t>International Conference on Environmental and Public Health Management</t>
  </si>
  <si>
    <t>NOV 17-19, 2004</t>
  </si>
  <si>
    <t>Hong Kong Baptist Univ, Kowloon, PEOPLES R CHINA</t>
  </si>
  <si>
    <t>Hong Kong Baptist Univ</t>
  </si>
  <si>
    <t>organochlorine pesticides (OCPs); HCH and DDT; penguin droppings; lake sediment; biomonitoring material; maritime Antarctic</t>
  </si>
  <si>
    <t>ORGANOCHLORINE PESTICIDES; ADELIE PENGUINS; PERSISTENT ORGANOCHLORINES; CHLORINATED HYDROCARBONS; PCBS; LAKE; POLLUTANTS; ATMOSPHERE; RESIDUES; MERCURY</t>
  </si>
  <si>
    <t>This article reports the concentrations of hexachlorocyclohexanes (HCHs) and dichloro-diphenyl-trichloroethanes (DDTs) in fresh Gentoo penguin (Pygoscelis Papua) droppings deposited on the Ardley Island (62 degrees 13'S, 58 degrees 56'W), West Antarctica, and those in the island's two lake cores. In the fresh penguin droppings, metabolites were the predominant constituents of the DDT group, most likely due to the ban on DDT use in agriculture and the higher stability of the metabolites in the environment. In contrast, gamma-HCH comprised 66% of the total HCHs, apparently due to the continuous use of Lindane in the Southern Hemisphere. The concentrations of HCHs and DDTs in the fresh droppings are many times higher than those in penguin plume, the latter currently being used as biomaterial for monitoring coastal contaminations in Antarctica. Results of this study indicate that penguin droppings have a good potential for use as another biomonitoring material in detecting the organochlorine pesticides and other contaminants in the maritime Antarctic. Because penguin droppings can be well preserved in lake sediments, they also provide a good and continuous historical record of these contaminants. The slight increase of DDTs since the 1990s, as observed in the aged penguin droppings in the sediment cores, suggests there have been new inputs of DDT into the Antarctic coastal ecosystem, probably from the illegal use of DDT in the Southern Hemisphere.</t>
  </si>
  <si>
    <t>Univ Sci &amp; Technol China, Inst Polar Environm, Hefei 230026, Peoples R China; China Agr Univ, Coll Sci, Beijing, Peoples R China</t>
  </si>
  <si>
    <t>Chinese Academy of Sciences; University of Science &amp; Technology of China, CAS; China Agricultural University</t>
  </si>
  <si>
    <t>Univ Sci &amp; Technol China, Inst Polar Environm, Hefei 230026, Peoples R China.</t>
  </si>
  <si>
    <t>slg@ustc.edu.cn</t>
  </si>
  <si>
    <t>Pan, Canping/Q-1002-2019</t>
  </si>
  <si>
    <t>Liu, Fengmao/0000-0002-1958-7230</t>
  </si>
  <si>
    <t>1080-7039</t>
  </si>
  <si>
    <t>1549-7860</t>
  </si>
  <si>
    <t>HUM ECOL RISK ASSESS</t>
  </si>
  <si>
    <t>Hum. Ecol. Risk Assess.</t>
  </si>
  <si>
    <t>10.1080/10807030500536819</t>
  </si>
  <si>
    <t>Biodiversity Conservation; Environmental Sciences</t>
  </si>
  <si>
    <t>035SR</t>
  </si>
  <si>
    <t>WOS:000237022500012</t>
  </si>
  <si>
    <t>Rotschky, G; Rack, W; Dierking, W; Oerter, H</t>
  </si>
  <si>
    <t>Retrieving snowpack properties and accumulation estimates from a combination of SAR and scatterometer measurements</t>
  </si>
  <si>
    <t>4th International Symposium on the Retrieval of Bio- and Geophysical Parameters from SAR Data for Land Applications</t>
  </si>
  <si>
    <t>NOV 16-19, 2004</t>
  </si>
  <si>
    <t>Innsbruck, AUSTRIA</t>
  </si>
  <si>
    <t>Antarctica; mass balance; satellite radar; snowpack properties</t>
  </si>
  <si>
    <t>DRONNING MAUD-LAND; SURFACE MASS-BALANCE; GREENLAND ICE-SHEET; SPATIAL-DISTRIBUTION; TEMPORAL VARIABILITY; RADAR BACKSCATTER; ELEVATION-CHANGE; ANTARCTICA; RATES; FIRN</t>
  </si>
  <si>
    <t>This study combines two satellite radar techniques, low-resolution C-/Ku-band scatterometer and high-resolution C-band synthetic aperture radar (SAR) for glaciological studies, in particular mass-balance estimations. Three parameters expressing the mean backscattering and its dependency on azimuth and incidence angle are used to describe and classify the Antarctic ice sheets backscattering behavior. Simple linear regression analyses are carried out between ground truth accumulation data and the SAR backscattering coefficient along continuous profile lines. From this we parameterize the accumulation rate separately for certain snow pack regimes. We find that SAR data can be used to map mass-balance changes, however only within limited areas. Applying this method therefore generally requires accurate ground truth for regional calibration together with additional information regarding mean air temperature or elevation. This investigation focuses oil the area of Dronning Maud Land, Antarctica. We present the first high-resolution accumulation map based on SAR data for the surrounding area of the EPICA deep ice core drilling site Kohnen, which is compared to reliable ground truth records as well as to a surface-mass-balance map interpolated from these at low resolution.</t>
  </si>
  <si>
    <t>Alfred Wegener Inst Polar &amp; Marine Res, D-27515 Bremerhaven, Germany</t>
  </si>
  <si>
    <t>Alfred Wegener Inst Polar &amp; Marine Res, D-27515 Bremerhaven, Germany.</t>
  </si>
  <si>
    <t>grotschky@awi-bremerhaven.de; wrack@awi-bremerhaven.de; wdierking@awi-bremerhaven.de; hoerter@awi-bremerhaven.de</t>
  </si>
  <si>
    <t>Rack, Wolfgang/U-8898-2017</t>
  </si>
  <si>
    <t>Rack, Wolfgang/0000-0003-2447-377X</t>
  </si>
  <si>
    <t>10.1109/TGRS.2005.862524</t>
  </si>
  <si>
    <t>028GD</t>
  </si>
  <si>
    <t>WOS:000236474100020</t>
  </si>
  <si>
    <t>Reid, IN; Sparks, WB; Lubow, S; McGrath, M; Livio, M; Valenti, J; Sowers, KR; Shukla, HD; MacAuley, S; Miller, T; Suvanasuthi, R; Belas, R; Colman, A; Robb, FT; DasSarma, P; Müller, JA; Coker, JA; Cavicchioli, R; Chen, F; DasSarma, S</t>
  </si>
  <si>
    <t>Reid, I. N.; Sparks, W. B.; Lubow, S.; McGrath, M.; Livio, M.; Valenti, J.; Sowers, K. R.; Shukla, H. D.; MacAuley, S.; Miller, T.; Suvanasuthi, R.; Belas, R.; Colman, A.; Robb, F. T.; DasSarma, P.; Mueller, J. A.; Coker, J. A.; Cavicchioli, R.; Chen, F.; DasSarma, S.</t>
  </si>
  <si>
    <t>Terrestrial models for extraterrestrial life: methanogens and halophiles at Martian temperatures</t>
  </si>
  <si>
    <t>INTERNATIONAL JOURNAL OF ASTROBIOLOGY</t>
  </si>
  <si>
    <t>Astrobiology; Archaea; biofilm; extrasolar planets; Mars; psychrophiles</t>
  </si>
  <si>
    <t>ANTARCTIC ARCHAEON; METHANOCOCCOIDES-BURTONII; COLD ADAPTATION; MICROBIAL COMMUNITY; NATURAL COMMUNITIES; ANAEROBIC GROWTH; GENOME SEQUENCE; SP-NOV; PROTEINS; METHANOSARCINA</t>
  </si>
  <si>
    <t>Cold environments are common throughout the Galaxy. We are conducting a series of experiments designed to probe the low-temperature limits for growth in selected methanogenic and halophilic Archaea. This paper presents initial results for two mesophiles, a methanogen, Methanosarcina acetivorans, and a halophile, Halobacterium sp. NRC-1, and for two Antarctic cold-adapted Archaea, a methanogen, Methanococcoides burtonii, and a halophile, Halorubrum lacusprofundi. Neither mesophile is active at temperatures below 5 degrees C, but both cold-adapted microorganisms show significant growth at sub-zero temperatures (-2 degrees C and -1 degrees C, respectively), extending previous low-temperature limits for both species by 4-5 degrees C. At low temperatures, both H. lacusprofundi and M. burtonii form multicellular aggregates, which appear to be embedded in extracellular polymeric substances. This is the first detection of this phenomenon in Antarctic species of Archaea at cold temperatures. The low-temperature limits for both psychrophilic species fall within the temperature range experienced on present-day Mars and could permit survival and growth, particularly in subsurface environments. We also discuss the results of our experiments in the context of known exoplanet systems, several of which include planets that intersect the Habitable Zone. In most cases, those planets follow orbits with significant eccentricity, leading to substantial temperature excursions. However, a handful of the known gas giant exoplanets could potentially harbour habitable terrestrial moons.</t>
  </si>
  <si>
    <t>[Reid, I. N.; Sparks, W. B.; Lubow, S.; McGrath, M.; Livio, M.; Valenti, J.] Space Telescope Sci Inst, Baltimore, MD 21218 USA; [McGrath, M.] NASA, George C Marshall Space Flight Ctr, Huntsville, AL 35812 USA; [Sowers, K. R.; Shukla, H. D.; MacAuley, S.; Miller, T.; Suvanasuthi, R.; Belas, R.; Colman, A.; Robb, F. T.; DasSarma, P.; Mueller, J. A.; Coker, J. A.; Chen, F.; DasSarma, S.] Univ Maryland, Ctr Marine Biotechnol, Inst Biotechnol, Baltimore, MD 21202 USA; [Mueller, J. A.] Morgan State Univ, Dept Biol, Baltimore, MD 21215 USA; [Cavicchioli, R.] Univ New S Wales, Sch Biotechnol &amp; Biomol Sci, Sydney, NSW 2052, Australia</t>
  </si>
  <si>
    <t>Space Telescope Science Institute; National Aeronautics &amp; Space Administration (NASA); NASA Marshall Space Flight Center; University System of Maryland; University of Maryland Baltimore; Morgan State University; University of New South Wales Sydney</t>
  </si>
  <si>
    <t>inr@stsci.edu; dassarma@umbi.umd.edu; dassarma@umbi.umd.edu</t>
  </si>
  <si>
    <t>Müller, Jochen A./T-7318-2019; Miller, Todd/Y-3612-2019; Chen, Feng/P-3088-2014; Cavicchioli, Ricardo/D-4341-2013</t>
  </si>
  <si>
    <t>Müller, Jochen A./0000-0002-0935-1523; Robb, Frank/0000-0001-5833-6496; DasSarma, Shiladitya/0000-0003-4162-2810; Coker, James/0000-0002-1935-5413; Cavicchioli, Ricardo/0000-0001-8989-6402; Sparks, William/0000-0002-9011-6829; Miller, Todd/0000-0002-2113-1662; Valenti, Jeff/0000-0003-3305-6281</t>
  </si>
  <si>
    <t>Space Telescope Science Institute's Director's Discretionary Research Fund, NSF grant [MCB-0110762]; NSF grant [MCB-0135595]; Australian Research Council</t>
  </si>
  <si>
    <t>Space Telescope Science Institute's Director's Discretionary Research Fund, NSF grant; NSF grant(National Science Foundation (NSF)); Australian Research Council(Australian Research Council)</t>
  </si>
  <si>
    <t>We thank Tim Maugel and the University of Maryland Laboratory for Biological Ultrastructure for guidance with the SEM sample preparation and imaging. This work was supported through a grant from the Space Telescope Science Institute's Director's Discretionary Research Fund, NSF grant MCB-0110762 to KRS, and NSF grant MCB-0135595 to SD. The laboratory of RC is supported by funding from the Australian Research Council.</t>
  </si>
  <si>
    <t>1473-5504</t>
  </si>
  <si>
    <t>1475-3006</t>
  </si>
  <si>
    <t>INT J ASTROBIOL</t>
  </si>
  <si>
    <t>Int. J. Astrobiol.</t>
  </si>
  <si>
    <t>10.1017/S1473550406002916</t>
  </si>
  <si>
    <t>Astronomy &amp; Astrophysics; Biology; Geosciences, Multidisciplinary</t>
  </si>
  <si>
    <t>Astronomy &amp; Astrophysics; Life Sciences &amp; Biomedicine - Other Topics; Geology</t>
  </si>
  <si>
    <t>V28BM</t>
  </si>
  <si>
    <t>WOS:000208656300001</t>
  </si>
  <si>
    <t>Sakon, JJ; Burnap, RL</t>
  </si>
  <si>
    <t>Sakon, John J.; Burnap, Robert L.</t>
  </si>
  <si>
    <t>An analysis of potential photosynthetic life on Mars</t>
  </si>
  <si>
    <t>astrobiology; cyanobacteria; extraterrestrial life; Mars; nitrogen fixation; photosynthesis</t>
  </si>
  <si>
    <t>RAMAN-SPECTROSCOPY; LIQUID WATER; SURFACE; MICROORGANISMS; COLONIZATION; STABILITY; COMMUNITY; CULTURES; ICE</t>
  </si>
  <si>
    <t>This project researched the possibility of photosynthetic life on Mars. Cyanobacteria were used as potential analogs and were subjected to various Martian-simulated conditions. Synechocystis sp. PCC 6803 was exposed to low pressure, ultraviolet radiation and Martian-simulated atmospheric composition, and proved resistant to the combination of these stresses. However, this organism could neither grow within Martian Regolith Simulant, owing to the lack of soluble nitrogen, nor could it grow in cold temperatures. As a result, later research focused on psychrotolerant cyanobacteria capable of utilizing atmospheric nitrogen. These Antarctic nitrogen-fixing strains were able to grow in Martian Regolith Simulant at temperatures as low as 4 degrees C. In addition, they proved resistant to salinity, ultraviolet radiation and freeze/thaw conditions. These results suggest that Antarctic nitrogen-fixing cyanobacteria are good analogs for potential Martian life and should be considered in future exploratory missions for life on the red planet.</t>
  </si>
  <si>
    <t>[Sakon, John J.] Coll William &amp; Mary, Dept Phys, Williamsburg, VA 23185 USA; [Sakon, John J.; Burnap, Robert L.] NC State Univ, Dept Phys, Raleigh, NC 27607 USA; [Burnap, Robert L.] Oklahoma State Univ, Dept Microbiol &amp; Mol Genet, Stillwater, OK 74078 USA</t>
  </si>
  <si>
    <t>William &amp; Mary; North Carolina State University; Oklahoma State University System; Oklahoma State University - Stillwater</t>
  </si>
  <si>
    <t>Sakon, JJ (corresponding author), Coll William &amp; Mary, Dept Phys, Williamsburg, VA 23185 USA.</t>
  </si>
  <si>
    <t>jjsakon@ncsu.edu</t>
  </si>
  <si>
    <t>Burnap, Robert/C-9924-2016</t>
  </si>
  <si>
    <t>Burnap, Robert/0000-0001-6715-5961</t>
  </si>
  <si>
    <t>National Science Foundation</t>
  </si>
  <si>
    <t>National Science Foundation(National Science Foundation (NSF))</t>
  </si>
  <si>
    <t>We thank Dr Brad Postier for his aid in microbiology. We also thank Drs. Helen Vishniac, William Henley and Andrea Kirkwood for lending us their equipment and expertise. We are also grateful to Dr John Priscu for our Antarctic samples and Dr Carlton Allen and NASA-ARES for the Martian Regolith Simulant. We also appreciate the constant support of Dr Richard Marston. In addition, this research would not have been possible without the aid of Dr Derek Sears, the Arkansas-Oklahoma Center for Space and Planetary Sciences and the grant provided to this program by the National Science Foundation.</t>
  </si>
  <si>
    <t>10.1017/S1473550406003144</t>
  </si>
  <si>
    <t>WOS:000208656300006</t>
  </si>
  <si>
    <t>Titlyanov, EA; Titlyanova, TV; Kadel, P; Lüning, K</t>
  </si>
  <si>
    <t>Titlyanov, E. A.; Titlyanova, T. V.; Kadel, P.; Luening, K.</t>
  </si>
  <si>
    <t>Obtaining plantlets from apical meristem of the red alga Gelidium sp.</t>
  </si>
  <si>
    <t>JOURNAL OF APPLIED PHYCOLOGY</t>
  </si>
  <si>
    <t>Gelidium sp; seaweed; apical meristem; cell aggregates; cultivation; plantlets</t>
  </si>
  <si>
    <t>SESQUIPEDALE CLEM BORN; THUR GELIDIALES; AXENIC CULTURE; SEED STOCK; RHODOPHYTA; REGENERATION; PROTOPLASTS; CHLOROPHYTA; GROWTH; CRYOPRESERVATION</t>
  </si>
  <si>
    <t>For the first time, plantlets were obtained from fragments and cell aggregates (CA) of apical meristem of the red alga Gelidium sp. After two months of cultivation, an initial weight of 100 mg of fragments and CA from fresh meristem produced 3 g of plantlets without rhizoids. During the same period of cultivation, 100 mg of meristem fragments and CA isolated from thalli by the freezing-thawing procedure produced more than 20 g of plantlets with rhizoids. It is assumed that our methods for obtaining plantlets from fragments and CA of fresh and frozen-thawed meristem could be used to generate mass planting material for cultivation of algae (plantlets with rhizoids) in the sea and for tank-bubbling cultivation (plantlets without rhizoids). We speculate that meristem cells of frozen-thawed algae might be natural seedstock in the Arctic and Antarctic seas.</t>
  </si>
  <si>
    <t>Russian Acad Sci, Inst Marine Biol, Far E Branch, Vladivostok 690041, Russia; Alfred Wegener Inst Polar &amp; Marine Res, D-25992 List Auf Sylt, Germany</t>
  </si>
  <si>
    <t>Russian Academy of Sciences; National Scientific Center of Marine Biology, Far East Branch of the Russian Academy of Sciences; Helmholtz Association; Alfred Wegener Institute, Helmholtz Centre for Polar &amp; Marine Research</t>
  </si>
  <si>
    <t>Titlyanov, EA (corresponding author), Russian Acad Sci, Inst Marine Biol, Far E Branch, Vladivostok 690041, Russia.</t>
  </si>
  <si>
    <t>etitlyanov@mail.ru</t>
  </si>
  <si>
    <t>Titlyanova, Tamara/AAD-6929-2019; Titlyanov, Eduard/AAD-6925-2019</t>
  </si>
  <si>
    <t>0921-8971</t>
  </si>
  <si>
    <t>J APPL PHYCOL</t>
  </si>
  <si>
    <t>J. Appl. Phycol.</t>
  </si>
  <si>
    <t>10.1007/s10811-006-9091-1</t>
  </si>
  <si>
    <t>Biotechnology &amp; Applied Microbiology; Marine &amp; Freshwater Biology</t>
  </si>
  <si>
    <t>075NL</t>
  </si>
  <si>
    <t>WOS:000239891700008</t>
  </si>
  <si>
    <t>Benson, CM; Drdla, K; Nedoluha, GE; Shettle, EP; Hoppel, KW; Bevilacqua, RM</t>
  </si>
  <si>
    <t>Microphysical modeling of southern polar dehydration during the 1998 winter and comparison with POAM III observations</t>
  </si>
  <si>
    <t>NORTHERN-HEMISPHERE WINTER; STRATOSPHERIC CLOUDS; SAGE-II; MIDDLE ATMOSPHERE; ICE; AEROSOL; CONDENSATION; TROPOSPHERE; OZONE; EVAPORATION</t>
  </si>
  <si>
    <t>Stratospheric dehydration and high aerosol extinctions are examined for the 1998 Antarctic winter using the Integrated Microphysics and Aerosol Chemistry on Trajectories (IMPACT) model and data obtained by the Polar Ozone and Aerosol Measurement (POAM) III instrument. The model is applied to individual air parcels which are advected along 3-D trajectories using the United Kingdom Meteorological Office (UKMO) global wind and temperature fields. Model results are compared to water vapor and aerosol extinction measurements obtained with the POAM instrument. Results suggest that the water vapor mixing ratio at the end of the season is predicted with reasonable accuracy. However, dehydration occurs more rapidly in the simulation than is indicated by the POAM data. In addition to dehydration results, the frequency of high aerosol extinction measurements is examined for all model runs and compared to POAM data. The aerosol extinction comparisons are consistent with the assumption that heterogeneous nitric acid trihydrate (NAT) freezing occurs in approximately 1% of all particles. Various model parameters influencing ice cloud microphysics are altered to examine their effects on both the water vapor mixing ratio and high aerosol extinction events. While a reduction in the ice accommodation coefficient and an increase in the ice nucleation barrier both improve the agreement in the water vapor mixing ratio, the agreement in aerosol extinction is worsened. Extinction comparisons suggest that the model results are consistent with either high or low NAT-ice lattice compatibility factors, although intermediate values agree poorly with POAM data. The extent of dehydration is highly dependent on temperature; therefore, an uncertainty as small as +/- 1 K in the UKMO temperature fields may significantly change the model results.</t>
  </si>
  <si>
    <t>USN, Res Lab, Washington, DC 20375 USA; NASA, Ames Res Ctr, Moffett Field, CA 94035 USA</t>
  </si>
  <si>
    <t>United States Department of Defense; United States Navy; Naval Research Laboratory; National Aeronautics &amp; Space Administration (NASA); NASA Ames Research Center</t>
  </si>
  <si>
    <t>Benson, CM (corresponding author), Goddard Earth Sci &amp; Technol Ctr, Baltimore, MD USA.</t>
  </si>
  <si>
    <t>benson@wvms.nrl.navy.mil</t>
  </si>
  <si>
    <t>APR 1</t>
  </si>
  <si>
    <t>D07201</t>
  </si>
  <si>
    <t>10.1029/2005JD006506</t>
  </si>
  <si>
    <t>031UV</t>
  </si>
  <si>
    <t>WOS:000236730700001</t>
  </si>
  <si>
    <t>Maniscalco, JM; Parker, P; Atkinson, S</t>
  </si>
  <si>
    <t>Interseasonal and interannual measures of maternal care among individual Steller sea lions (Eumetopias jubatus)</t>
  </si>
  <si>
    <t>JOURNAL OF MAMMALOGY</t>
  </si>
  <si>
    <t>birth timing; Eumetopias jubatus; foraging cycles; maternal care; perinatal period; remote video; Steller sea lion</t>
  </si>
  <si>
    <t>ANTARCTIC FUR SEALS; ATTENDANCE PATTERNS; PUP BEHAVIOR; INVESTMENT; GROWTH; ALASKA; YOUNG; MILK; SIZE; AGE</t>
  </si>
  <si>
    <t>We studied maternal care in Steller sea lions (Eumetopias jubatus) at a small rookery in the northern Gulf of Alaska over the course of 4 summers, 2001-2004 and 3 autumn seasons, 2002-2004, using remotely operated video cameras. Perinatal periods were long (&gt;= 10.0 days); although varied between years. Timing of parturition was earlier and perinatal periods longer for multiparous females compared to females considered to be primiparous. Summer foraging trip durations were short ((X) over bar = 16.5 h), increased during August, then did not change significantly over the course of the autumn ((X) over bar = 55.7 h). Individual lactating females spent a greater proportion of their time on shore during the summer and a greater proportion of their time at sea during the autumn. The amount of time that females nursed their pups also increased significantly from the summer to autumn. Long perinatal periods and short foraging trips during summer indicate that sea lions are likely finding sufficient food nearby. Our data also suggest that Steller sea lions reach an upper plateau in duration of foraging cycles as early as mid-August and large increases above that plateau may indicate difficulty finding sufficient food during the winter months.</t>
  </si>
  <si>
    <t>Alaska SeaLife Ctr, Seward, AK 99664 USA</t>
  </si>
  <si>
    <t>Maniscalco, JM (corresponding author), Alaska SeaLife Ctr, POB 1329, Seward, AK 99664 USA.</t>
  </si>
  <si>
    <t>john_maniscalco@alaskasealife.org</t>
  </si>
  <si>
    <t>Maniscalco, John/0000-0003-0920-327X</t>
  </si>
  <si>
    <t>ALLIANCE COMMUNICATIONS GROUP DIVISION ALLEN PRESS</t>
  </si>
  <si>
    <t>LAWRENCE</t>
  </si>
  <si>
    <t>810 EAST 10TH STREET, LAWRENCE, KS 66044 USA</t>
  </si>
  <si>
    <t>0022-2372</t>
  </si>
  <si>
    <t>J MAMMAL</t>
  </si>
  <si>
    <t>J. Mammal.</t>
  </si>
  <si>
    <t>10.1644/05-MAMM-A-163R2.1</t>
  </si>
  <si>
    <t>037DB</t>
  </si>
  <si>
    <t>WOS:000237125800014</t>
  </si>
  <si>
    <t>Williams, M; Wilkinson, IP; Tappin, DR; McMurtry, G; Fryer, GJ</t>
  </si>
  <si>
    <t>The Hawaiian megatsunami of 110 ± 10 ka:: the use of microfossils in detection</t>
  </si>
  <si>
    <t>JOURNAL OF MICROPALAEONTOLOGY</t>
  </si>
  <si>
    <t>British Antarctic Survey, Geol Sci Div, Cambridge CB3 0ET, England; British Geol Survey, Keyworth NG12 5GG, Notts, England; Univ Hawaii, Sch Ocean &amp; Earth Sci &amp; Technol, Honolulu, HI 96822 USA</t>
  </si>
  <si>
    <t>UK Research &amp; Innovation (UKRI); Natural Environment Research Council (NERC); NERC British Antarctic Survey; UK Research &amp; Innovation (UKRI); Natural Environment Research Council (NERC); NERC British Geological Survey; University of Hawaii System</t>
  </si>
  <si>
    <t>Williams, M (corresponding author), British Antarctic Survey, Geol Sci Div, High Cross,Madingley Rd, Cambridge CB3 0ET, England.</t>
  </si>
  <si>
    <t>mark.williams@port.ac.uk</t>
  </si>
  <si>
    <t>Tappin, David/H-7010-2013; Williams, Mark/B-7590-2009</t>
  </si>
  <si>
    <t>Tappin, David/0000-0003-3186-8403; Williams, Mark/0000-0002-7987-6069</t>
  </si>
  <si>
    <t>GEOLOGICAL SOC PUBL HOUSE</t>
  </si>
  <si>
    <t>BATH</t>
  </si>
  <si>
    <t>UNIT 7, BRASSMILL ENTERPRISE CENTRE, BRASSMILL LANE, BATH BA1 3JN, AVON, ENGLAND</t>
  </si>
  <si>
    <t>0262-821X</t>
  </si>
  <si>
    <t>J MICROPALAEONTOL</t>
  </si>
  <si>
    <t>J. Micropalaentol.</t>
  </si>
  <si>
    <t>10.1144/jm.25.1.55</t>
  </si>
  <si>
    <t>052WQ</t>
  </si>
  <si>
    <t>WOS:000238265000007</t>
  </si>
  <si>
    <t>Ishii, M; Kimoto, M; Sakamoto, K; Iwasaki, SI</t>
  </si>
  <si>
    <t>Steric sea level changes estimated from historical ocean subsurface temperature and salinity analyses</t>
  </si>
  <si>
    <t>JOURNAL OF OCEANOGRAPHY</t>
  </si>
  <si>
    <t>temperature analysis; salinity analysis; steric sea level; TOPEX/Poseidon; tide gauge; crustal movement</t>
  </si>
  <si>
    <t>SURFACE TEMPERATURE; DATA ASSIMILATION; VARIABILITY; EXPANSION; PROFILES; PACIFIC</t>
  </si>
  <si>
    <t>An historical objective analysis of subsurface temperature and salinity was carried out on a monthly basis from 1945 to 2003 using the latest observational databases and a sea surface temperature analysis. In addition, steric sea level changes were mainly examined using outputs of the objective analyses. The objective analysis is a revised version of Ishii et al. and is available at 16 levels in the upper 700 m depth. Artificial errors in the previous analysis during the 1990s have been worked out in the present analysis. The steric sea level computed from the temperature analysis has been verified with tide gauge observations and TOPEX/Poseidon sea surface height data. A correction for crustal movement is applied for tide gauge data along the Japanese coast. The new analysis is suitable for the discussion of global warming. Validation against the tide gauge reveals that the amplitude of thermosteric sea level becomes larger and the agreement improves in comparison with the previous analysis. A substantial part of local sea level rise along the Japanese coast appears to be explained by the thermosteric effect. The thermal expansion averaged in all longitudes from 60 degrees S to 60 degrees N explains at most half of recent sea level rise detected by satellite observation during the last decade. Considerable uncertainties remain in steric sea level, particularly over the southern oceans. Temperature changes within MLD make no effective contribution to steric sea level changes along the Antarctic Circumpolar Current. According to statistics using only reliable profiles of the temperature and salinity analyses, salinity variations are intrinsically important to steric sea level changes in high latitudes and in the Atlantic Ocean. Although data sparseness is severe even in the latest decade, linear trends of global mean thermosteric and halosteric sea level for 1955 to 2003 are estimated to be 0.31 +/- 0.07 mm/yr and 0.04 +/- 0.01 mm/yr, respectively. These estimates are comparable to those of the former studies.</t>
  </si>
  <si>
    <t>Japan Agcy Marine Earth Sci &amp; Technol, Frontier Res Ctr Global Change, Chiba 2600001, Japan; Univ Tokyo, Ctr Climate Syst Res, Kashiwa, Chiba 2778586, Japan; Japan Meteorol Agcy, Climate Predict Div, Tokyo 1008122, Japan; Natl Res Inst Earth Sci &amp; Disaster Prevent, Tsukuba, Ibaraki 3050006, Japan</t>
  </si>
  <si>
    <t>Japan Agency for Marine-Earth Science &amp; Technology (JAMSTEC); University of Tokyo; Japan Meteorological Agency; National Research Institute for Earth Science &amp; Disaster Resilience</t>
  </si>
  <si>
    <t>Japan Agcy Marine Earth Sci &amp; Technol, Frontier Res Ctr Global Change, Chiba 2600001, Japan.</t>
  </si>
  <si>
    <t>ism@jamstec.go.jp</t>
  </si>
  <si>
    <t>kimoto, masahide/P-9077-2014</t>
  </si>
  <si>
    <t>0916-8370</t>
  </si>
  <si>
    <t>1573-868X</t>
  </si>
  <si>
    <t>J OCEANOGR</t>
  </si>
  <si>
    <t>J. Oceanogr.</t>
  </si>
  <si>
    <t>10.1007/s10872-006-0041-y</t>
  </si>
  <si>
    <t>014OA</t>
  </si>
  <si>
    <t>WOS:000235488300004</t>
  </si>
  <si>
    <t>Aumack, CF; Backstrom, IC; Amsler, CD; McClintock, JB; Baker, BJ</t>
  </si>
  <si>
    <t>Aumack, C. F.; Backstrom, I. C.; Amsler, C. D.; McClintock, J. B.; Baker, B. J.</t>
  </si>
  <si>
    <t>Potential chemical defenses against endophytes and epiphytes in Antarctic macroalgae</t>
  </si>
  <si>
    <t>JOURNAL OF PHYCOLOGY</t>
  </si>
  <si>
    <t>Univ Alabama, Dept Biol, Birmingham, AL 35294 USA; Univ S Florida, Dept Chem, Tampa, FL 33620 USA</t>
  </si>
  <si>
    <t>0022-3646</t>
  </si>
  <si>
    <t>J PHYCOL</t>
  </si>
  <si>
    <t>J. Phycol.</t>
  </si>
  <si>
    <t>161HH</t>
  </si>
  <si>
    <t>WOS:000246004900099</t>
  </si>
  <si>
    <t>Radko, T; Marshall, J</t>
  </si>
  <si>
    <t>Radko, Timour; Marshall, John</t>
  </si>
  <si>
    <t>The Antarctic Circumpolar Current in three dimensions</t>
  </si>
  <si>
    <t>EULERIAN-MEAN THEORY; EDDY TRANSFER; WIND-DRIVEN; CIRCULATION; STRATIFICATION; DYNAMICS; MODEL; ACC</t>
  </si>
  <si>
    <t>A simple theory is developed for the large-scale three-dimensional structure of the Antarctic Circumpolar Current and the upper cell of its overturning circulation. The model is based on a perturbation expansion about the zonal-average residual-mean model developed previously by Marshall and Radko. The problem is solved using the method of characteristics for idealized patterns of wind and buoyancy forcing constructed from observations. The equilibrium solutions found represent a balance between the Eulerian meridional overturning, eddy-induced circulation, and downstream advection by the mean flow. Depth and stratification of the model thermocline increase in the Atlantic-Indian Oceans sector where the mean wind stress is large. Residual circulation in the model is characterized by intensification of the overturning circulation in the Atlantic-Indian sector and reduction in strength in the Pacific Ocean region. Predicted three-dimensional patterns of stratification and residual circulation in the interior of the ACC are compared with observations.</t>
  </si>
  <si>
    <t>USN, Postgrad Sch, Dept Oceanog, Monterey, CA 93943 USA; MIT, Dept Earth Atmospher &amp; Planetary Sci, Cambridge, MA USA</t>
  </si>
  <si>
    <t>United States Department of Defense; United States Navy; Naval Postgraduate School; Massachusetts Institute of Technology (MIT)</t>
  </si>
  <si>
    <t>Radko, T (corresponding author), USN, Postgrad Sch, Dept Oceanog, Rm SP-344,833 Dyer Rd, Monterey, CA 93943 USA.</t>
  </si>
  <si>
    <t>tradko@nps.edu</t>
  </si>
  <si>
    <t>10.1175/JPO2893.1</t>
  </si>
  <si>
    <t>047NX</t>
  </si>
  <si>
    <t>WOS:000237887100006</t>
  </si>
  <si>
    <t>Pond, DW; Leakey, RJG; Fallick, AE</t>
  </si>
  <si>
    <t>Monitoring microbial predator-prey interactions: an experimental study using fatty acid biomarker and compound-specific stable isotope techniques</t>
  </si>
  <si>
    <t>OXYRRHIS-MARINA; TROPHIC RELATIONSHIPS; ISOCHRYSIS-GALBANA; ESSENTIAL LIPIDS; FLOW-CYTOMETRY; FOOD QUALITY; CARBON; FRACTIONATION; NUTRITION; C-13/C-12</t>
  </si>
  <si>
    <t>Naturally occurring microbial communities are complex, with autotrophs and heterotrophs often similarly sized and impossible to separate by conventional size fractionation approaches. However, if it was possible to identify specific compounds that are characteristic of particular groups of microbes and determine the stable isotope composition of these biomarkers, the requirement for size fractionation could potentially be negated. This work considered the usefulness of such an approach by analysis of a simple laboratory predator-prey system comprising Nanochloropsis oculata, an autotrophic flagellate prey and Oxyrrhis marina, a heterotrophic flagellate predator. In growth-grazing experiments the fatty acids 20:5(n-3) and 22:6(n-3) were used as biomarkers for N. oculata and O. marina respectively. Interpretation of delta C-13 values of these predator and prey fatty acid biomarkers was not straightforward since although isotopic signature of the O. marina biomarker was consistently enriched compared to that of its N. oculata prey, the magnitude of enrichment in C-13 increased with age of culture (1.0-5.4 %). Given the variability we observed in our experimental cultures, it will be difficult to apply this approach to complex field situations without a comprehensive understanding of the factors determining the delta C-13 values of specific biomarker molecules.</t>
  </si>
  <si>
    <t>British Antarctic Survey, NERC, Cambridge CB3 0ET, England; Scottish Assoc Marine Sci, Dunstaffnage Marine Lab, Oban PA37 1QA, Argyll, Scotland; Scottish Univ Environm Res Ctr, Glasgow G75 0QF, Lanark, Scotland</t>
  </si>
  <si>
    <t>UK Research &amp; Innovation (UKRI); Natural Environment Research Council (NERC); NERC British Antarctic Survey; UHI Millennium Institute; Scottish Universities Research &amp; Reactor Center</t>
  </si>
  <si>
    <t>dwpo@bas.ac.uk</t>
  </si>
  <si>
    <t>Fallick, Anthony/0000-0002-7649-6167</t>
  </si>
  <si>
    <t>1464-3774</t>
  </si>
  <si>
    <t>10.1093/plankt/fbi130</t>
  </si>
  <si>
    <t>025GU</t>
  </si>
  <si>
    <t>WOS:000236254200008</t>
  </si>
  <si>
    <t>Leotta, GA; Chinen, I; Vigo, GB; Pecoraro, M; Rivas, M</t>
  </si>
  <si>
    <t>Leotta, G. A.; Chinen, I.; Vigo, G. B.; Pecoraro, M.; Rivas, M.</t>
  </si>
  <si>
    <t>Outbreaks of avian cholera in Hope Bay, Antarctica</t>
  </si>
  <si>
    <t>JOURNAL OF WILDLIFE DISEASES</t>
  </si>
  <si>
    <t>adelie penguin; Antarctica; avian cholera; ERIC-PCR; kelp gull; Pasteurella multocida; PFGE; skua</t>
  </si>
  <si>
    <t>PASTEURELLA-MULTOCIDA; FOWL CHOLERA; LESSER SNOW; WATERFOWL; CAMPYLOBACTER; DUCKS; JAPAN; WILD; PCR</t>
  </si>
  <si>
    <t>During austral summers 1999-2000 and 2000-01, two outbreaks of avian cholera occurred in the Hope Bay area (63 degrees 24'S, 56 degrees 59'W), located on the tip of the Antarctic Peninsula. Eighty-six dead birds were found: five kelp gulls (Larus dominicanus), 36 skuas (Stercorarius sp.), and 45 Adelie penguins (Pygoscelis adeliae). The carcasses were studied using clinical, pathological, and microbiological criteria. Water samples from ponds where birds were settled and samples from 90 healthy birds also were analyzed during the second outbreak. Pasteurella multocida isolates were identified by biochemical tests, capsular type, somatic serotype, and susceptibility to nine antibiotics. Molecular subtyping was performed by ApaI and SmaI pulsed-field gel electrophoresis (PFGE) and enterobacterial repetitive intergenic consensus (ERIC-PCR). In February 2000, mortality in skuas was 16% and 2% in kelp gulls. In the 2000-01 breeding season, mortality in south polar skuas was 47%, 24% in brown skuas, 1.4% in kelp gulls, and 0.01% in Adelie penguins. All birds had lesions of avian cholera. in kelp gulls the presentation was chronic, whereas skuas and penguins suffered subacute and acute disease, respectively. Fifty-five isolates recovered from dead birds and one from water were identified as P. multocida gallicida, type A: 1. The strains presented a unique molecular pattern by PFGE and ERIC-PCR. A possible hypothesis to explain the origin of the outbreaks was that nonbreeder kelp gulls carried P. multocida gallicida to Hope Bay, and avian cholera was transmitted through water to skuas and penguins. This study reports avian cholera in new bird species, their potential role in the transmission of the disease, and the different responses of these species to the disease.</t>
  </si>
  <si>
    <t>Natl Univ La Plata, Lab Diagnost &amp; Invest Bacteriol, Fac Ciencias Vet, RA-1900 Buenos Aires, DF, Argentina; Inst Nacl Enfermedades Infecciosas, ANLIS Dr Carlos G Malbran, Serv Fisiopatogenia, Buenos Aires, DF, Argentina; Natl Univ La Plata, Catedra Virol, Fac Ciencias Vet, RA-1900 Buenos Aires, DF, Argentina</t>
  </si>
  <si>
    <t>National University of La Plata; National University of La Plata</t>
  </si>
  <si>
    <t>Leotta, GA (corresponding author), Natl Univ La Plata, Lab Diagnost &amp; Invest Bacteriol, Fac Ciencias Vet, Calle 60&amp;118, RA-1900 Buenos Aires, DF, Argentina.</t>
  </si>
  <si>
    <t>gleotta@fcv.unlp.edu.ar</t>
  </si>
  <si>
    <t>WILDLIFE DISEASE ASSOC, INC</t>
  </si>
  <si>
    <t>810 EAST 10TH ST, LAWRENCE, KS 66044-8897 USA</t>
  </si>
  <si>
    <t>0090-3558</t>
  </si>
  <si>
    <t>1943-3700</t>
  </si>
  <si>
    <t>J WILDLIFE DIS</t>
  </si>
  <si>
    <t>J. Wildl. Dis.</t>
  </si>
  <si>
    <t>10.7589/0090-3558-42.2.259</t>
  </si>
  <si>
    <t>Veterinary Sciences</t>
  </si>
  <si>
    <t>071EC</t>
  </si>
  <si>
    <t>Green Submitted, Bronze, Green Published</t>
  </si>
  <si>
    <t>WOS:000239580000005</t>
  </si>
  <si>
    <t>Minami, M; Terui, A; Takaoka, N; Nakamura, T</t>
  </si>
  <si>
    <t>An improved extraction system to measure carbon-14 terrestrial ages of meteorites and pairing of the Antarctic Yamato-75097 group chondrites</t>
  </si>
  <si>
    <t>COSMOGENIC NUCLIDES; EXPOSURE HISTORY</t>
  </si>
  <si>
    <t>We examined an improved system for extraction of carbon from meteorites, using a vacuum-tight RF melting method. Meteorite samples mixed with ail iron combustion accelerator, including a specific amount of carbon (0.052%), were combusted in a RF furnace (LECO HF-10). (CO2)-C-14 extracted from the meteorite was diluted with a known amount of nearly C-14-free CO2 evolved from the iron accelerator on combustion. The C-14 activities of the recently fallen Holbrook (L6) and Mt. Tazerzait (L5) meteorites were measured by this method. The mean value was 56.5 +/- 3.0 dpm/kg, which is similar to the values reported for recently fallen L6 chondrites. Furthermore, terrestrial ages were measured for four Antarctic meteorites: 1.8 +/- 0.5 kyr for Yamato (Y-) 75097 (L6), 1.8 +/- 0.5 kyr for Y-75108 (L6), and 0.1 +/- 0.1 kyr for Y-74192 (H5). For Y-74190 (L6), an apparent age of 0.8 +/- 0.5 kyr was calculated. After consideration of the shielding effect by Using Ne-22/Ne-21 values, we obtained about 1.8 kyr for the terrestrial age of this chondrite. The five samples Y-74190, Y-75097, and Y-75108, together with Y-75102 (L6) and Y-75271 (L6), have been reported to be paired and fragments of ail L-chondrite shower (Honda 1981; Takaoka 1987). The result of this work and literature data for the latter two samples confirmed that they are paired. More discussion and experimental work are needed for other recently fallen meteorites, both for L and H chondrites, and a correction for the shielding effect should be done to determine a more reliable terrestrial age.</t>
  </si>
  <si>
    <t>Nagoya Univ, Ctr Chronol Res, Nagoya, Aichi 4648602, Japan; Nagoya Univ, Sch Sci, Dept Earth &amp; Planetary Sci, Nagoya, Aichi 4648602, Japan; Kyushu Univ, Fac Sci, Dept Earth &amp; Planetary Sci, Fukuoka 8128581, Japan</t>
  </si>
  <si>
    <t>Nagoya University; Nagoya University; Kyushu University</t>
  </si>
  <si>
    <t>Nagoya Univ, Ctr Chronol Res, Nagoya, Aichi 4648602, Japan.</t>
  </si>
  <si>
    <t>minami@nendai.nagoya-u.ac.jp</t>
  </si>
  <si>
    <t>10.1111/j.1945-5100.2006.tb00480.x</t>
  </si>
  <si>
    <t>038IF</t>
  </si>
  <si>
    <t>WOS:000237212300004</t>
  </si>
  <si>
    <t>Day, JMD; Taylor, LA; Floss, C; McSween, HY</t>
  </si>
  <si>
    <t>Petrology and chemistry of MIL 03346 and its significance in understanding the petrogenesis of nakhlites on Mars</t>
  </si>
  <si>
    <t>TRACE-ELEMENT DISTRIBUTIONS; CRYSTAL SIZE DISTRIBUTIONS; MARTIAN METEORITES; IGNEOUS ROCKS; PARENT MAGMA; INCLUSIONS; SYSTEMATICS; ABUNDANCES; EVOLUTION; AUGITE</t>
  </si>
  <si>
    <t>Antarctic meteorite Miller Range (MIL) 03346 is a nakhlite composed of 79% clinopyroxene, similar to 1% olivine, and 20% vitrophyric intercumulus material. We have performed a petrological and geochemical study of MIL 03346, demonstrating a petrogenetic history similar to previously discovered naklilites. Quantitative textural study of MIL 03346 indicates long (&gt; 1 x 10(1) yr) residence times for the Cumulus augite, whereas the skeletal Fe-Ti oxide, fayalite, and sulfide in the vitrophyric intercumulus matrix suggest rapid cooling, probably as a lava flow. From the relatively high forsterite contents of olivine (up to Fo(43)) compared with other nakhlites and compositions of augite cores (Wo(38-42)En(35-40)Fs(22-28)) and their hedenbergite rims, we suggest that MIL 03346 is part of the same or a similar Martian Cumulate-rich lava flow as other nakhlites. However, MIL 03346 has experienced less equilibration and faster cooling than other nakhlites discovered to date. Calculated trace element concentrations based upon modal abundances of MIL 03346 and its constituent minerals are identical to whole rock trace element abundances. Parental melts for augite have REE patterns that are approximately parallel with whole rock and intercumulus melt using experimentally defined partition coefficients. This parallelism reflects closed-system crystallization for MIL 03346, where the only significant petrogenetic process between formation of augite and eruption and emplacement of the nakhlite flow has been fractional crystallization. A model for the petrogenesis of MIL 03346 and the naklilites (Nakhla, Governador Valadares, Lafayette, Yamato-000593, Northwest Africa (NWA) 817, NWA 998) Would include: 1) partial melting and ascent of melt generated from a long-term LREE depleted mantle Source, 2) crystallization of cumulus augite (+/- olivine, +/- magnetite) in a shallow-level Martian magma chamber, 3) eruption of the crystal-laden naklilite magma onto the surface of Mars, 4) cooling, crystal settling, overgrowth, and partial equilibration to different extents within the flow, 5) secondary alteration through hydrothermal processes, possibly immediately succeeding or during emplacement of the flow. This model might apply to single-or multiple-flow models for the nakhlites. Ultimately, MIL 03346 and the other nakhlites preserve a record of magmatic processes in volcanic rocks oil Mars with analogous petrogenetic histories to pyroxene-rich terrestrial lava flows and to komatiites.</t>
  </si>
  <si>
    <t>Univ Tennessee, Dept Earth &amp; Planetary Sci, Planetary Geosci Inst, Knoxville, TN 37996 USA; Washington Univ, Space Sci Lab, St Louis, MO 63130 USA</t>
  </si>
  <si>
    <t>University of Tennessee System; University of Tennessee Knoxville; Washington University (WUSTL)</t>
  </si>
  <si>
    <t>Day, JMD (corresponding author), Univ Tennessee, Dept Earth &amp; Planetary Sci, Planetary Geosci Inst, Knoxville, TN 37996 USA.</t>
  </si>
  <si>
    <t>jday13@utk.edu</t>
  </si>
  <si>
    <t>Day, James/A-5099-2010</t>
  </si>
  <si>
    <t>Day, James/0000-0001-9520-3465</t>
  </si>
  <si>
    <t>10.1111/j.1945-5100.2006.tb00484.x</t>
  </si>
  <si>
    <t>WOS:000237212300008</t>
  </si>
  <si>
    <t>Gudynaite-Savitch, L; Gretes, M; Morgan-Kiss, RM; Savitch, LV; Simmonds, J; Kohalmi, SE; Hüner, NPA</t>
  </si>
  <si>
    <t>Cytochrome f from the Antarctic psychrophile, Chlamydomonas raudensis UWO 241:: structure, sequence, and complementation in the mesophile, Chlamydomonas reinhardtii</t>
  </si>
  <si>
    <t>MOLECULAR GENETICS AND GENOMICS</t>
  </si>
  <si>
    <t>Chlamydomonas raudensis; Chlamydomonas reinhardtii; cytochrome f; thermostability; state transitions; electron transport</t>
  </si>
  <si>
    <t>STATE TRANSITIONS; OXYGENIC PHOTOSYNTHESIS; STROMAL COMPONENTS; INTERSYSTEM CHAIN; PHOTOSYSTEM-II; INTACT LEAVES; LHCII KINASE; GREEN-ALGA; LIGHT; PHOSPHORYLATION</t>
  </si>
  <si>
    <t>Although cytochrome f from the Antarctic psychrophile, Chlamydomonas raudensis UWO 241, exhibits a lower apparent molecular mass (34 kD) than that of the mesophile C. reinhardtii (41 kD) based on SDS-PAGE, both proteins are comparable in calculated molecular mass and show 79% identity in amino acid sequence. The difference in apparent molecular mass was maintained after expression of petA from both Chlamydomonas species in either E. coli or a C. reinhardtii Delta petA mutant and after substitution of a unique third cysteine-292 to phenylalanine in the psychrophilic cytochrome f. Moreover, the heme of the psychrophilic form of cytochrome f was less stable upon heating than that of the mesophile. In contrast to C. raudensis, a C. reinhardtii Delta petA mutant transformed with petA from C. raudensis exhibited the ability to undergo state transitions and a capacity for intersystem electron transport comparable to that of C. reinhardtii wild type. However, the C. reinhardtii petA transformants accumulated lower levels of cytochrome b(6) /f complexes and exhibited lower light saturated rates of O-2 evolution than C. reinhardtii wild type. We show that the presence of an altered form of cytochrome f in C. raudensis does not account for its inability to undergo state transitions or its impaired capacity for intersystem electron transport as previously suggested. A combined survey of the apparent molecular mass, thermal stability and amino acid sequences of cytochrome f from a broad range of mesophilic species shows unequivocally that the observed differences in cytochrome f structure are not related to psychrophilly. Thus, caution must be exercised in relating differences in amino acid sequence and thermal stability to adaptation to cold environments.</t>
  </si>
  <si>
    <t>Univ Western Ontario, Dept Biol, London, ON N6A 5B7, Canada; Univ Western Ontario, Biotron, London, ON N6A 5B7, Canada; Univ Illinois, Dept Microbiol, Urbana, IL 61801 USA; Agr &amp; Agri Food Canada, ECORC, Ottawa, ON K1A 0C6, Canada</t>
  </si>
  <si>
    <t>Western University (University of Western Ontario); Western University (University of Western Ontario); University of Illinois System; University of Illinois Urbana-Champaign; Agriculture &amp; Agri Food Canada</t>
  </si>
  <si>
    <t>Univ Western Ontario, Dept Biol, London, ON N6A 5B7, Canada.</t>
  </si>
  <si>
    <t>nhuner@uwo.ca</t>
  </si>
  <si>
    <t>Gretes, Michael C/A-5145-2012</t>
  </si>
  <si>
    <t>Morgan-kiss, Rachael/0000-0003-4783-5358</t>
  </si>
  <si>
    <t>1617-4615</t>
  </si>
  <si>
    <t>1617-4623</t>
  </si>
  <si>
    <t>MOL GENET GENOMICS</t>
  </si>
  <si>
    <t>Mol. Genet. Genomics</t>
  </si>
  <si>
    <t>10.1007/s00438-005-0094-4</t>
  </si>
  <si>
    <t>Biochemistry &amp; Molecular Biology; Genetics &amp; Heredity</t>
  </si>
  <si>
    <t>033JA</t>
  </si>
  <si>
    <t>WOS:000236842000007</t>
  </si>
  <si>
    <t>Fassett, CI; Head, JW</t>
  </si>
  <si>
    <t>Valleys on Hecates Tholus, Mars: origin by basal melting of summit snowpack</t>
  </si>
  <si>
    <t>PLANETARY AND SPACE SCIENCE</t>
  </si>
  <si>
    <t>Mars; Mars surface; valley networks; erosion; heat flow</t>
  </si>
  <si>
    <t>GENERAL-CIRCULATION MODEL; SOUTHERN VICTORIA LAND; MCMURDO DRY VALLEYS; FLUVIAL VALLEYS; ART.; WATER; ANTARCTICA; EVOLUTION; GLACIERS; VOLCANOS</t>
  </si>
  <si>
    <t>Valley networks observed on the martian surface are found mostly on Noachian-aged highlands units, but a few occur on younger volcanic edifices. Enigmatically, they do not occur on all younger volcanoes of similar age or location. Using new data, we reanalyze the radially arrayed valleys on the flanks of Hecates Tholus, a Hesperian-aged shield volcano, and test the hypothesis that these valleys might have formed via basal melting of summit snowpack. We find that magmatic intrusions with reasonable geometries provide sufficient heat flux to cause basal melting of snowpack, with the resulting meltwater interpreted to be responsible for incision of the observed valleys. Valley morphology is similar to valleys observed adjacent to seasonally melting Antarctic Dry Valley glaciers formed on comparable slopes, supporting the hypothesis of a snowmelt origin. These relatively young valley networks are thus plausibly interpreted to form under circumstances in which summit snow accumulation was melted during one or more episodes of high localized heat flux. (c) 2006 Elsevier Ltd. All rights reserved.</t>
  </si>
  <si>
    <t>Brown Univ, Dept Geol Sci, Providence, RI 02912 USA</t>
  </si>
  <si>
    <t>Brown University</t>
  </si>
  <si>
    <t>Fassett, CI (corresponding author), Brown Univ, Dept Geol Sci, Providence, RI 02912 USA.</t>
  </si>
  <si>
    <t>Caleb_Fassett@brown.edu</t>
  </si>
  <si>
    <t>Fassett, Caleb/0000-0001-9155-3804</t>
  </si>
  <si>
    <t>0032-0633</t>
  </si>
  <si>
    <t>PLANET SPACE SCI</t>
  </si>
  <si>
    <t>Planet Space Sci.</t>
  </si>
  <si>
    <t>10.1016/j.pss.2005.12.011</t>
  </si>
  <si>
    <t>033DW</t>
  </si>
  <si>
    <t>WOS:000236827800006</t>
  </si>
  <si>
    <t>Izaguirre, I; Allende, L; Tell, G</t>
  </si>
  <si>
    <t>Algal communities of a geothermally heated lagoon on Deception Island (South Shetland Islands)</t>
  </si>
  <si>
    <t>phytoplankton; algal mats; lagoon; Deception Island; Antarctica</t>
  </si>
  <si>
    <t>HOPE BAY; PLANKTONIC COMMUNITIES; CIERVA POINT; LAKES</t>
  </si>
  <si>
    <t>Kroner Lake, located at Deception Island (Maritime Antarctica), is a unique geothermally heated lagoon in Antarctica. It is declared as special site of scientific interest (SSSI) by Scientific Committee for Antarctic Research (SCAR) for its high biodiversity. A sharp environmental heterogeneity is registered in this lagoon, due to its connection to the sea in its southern margin, and to the input of warm freshwater in the northern one (because of hot springs). This study analyses the biodiversity and abundance of the algal communities (phytoplankton and benthic assemblages) and their relationship with environmental factors. In particular, strong spatial differences of both temperature and conductivity were recorded. The biological studies revealed that the phytoplankton (nanoplankton and microplankton) was dominated by marine diatom species, while the pico-sized fraction was composed by Cyanobacteria Synechococcus-like cells. The epipelon was mainly represented by chain and tubicolous diatoms, among which, Melosira nummuloides was one of the most abundant species. Filamentous Cyanobacteria were also frequently recorded in the algal mats. Kroner Lake is subject to a strong marine influence. Phytoplankton is absolutely dominated by marine diatoms. Spatial variations in temperature and conductivity recorded in the lagoon influence the distribution of the aquatic communities. The greater abundance of pico-sized cells coincided with the warmest site of the water body. Regarding the benthic community, the contribution of freshwater and brackish species is comparatively more important than for the phytoplankton, although the high contribution of marine-derived algae was also evident.</t>
  </si>
  <si>
    <t>Univ Buenos Aires, Fac Ciencias Exactas &amp; Nat, Dept Ecol Genet &amp; Evoluc, RA-1428 Buenos Aires, DF, Argentina; Consejo Nacl Invest Cient &amp; Tecn, RA-1033 Buenos Aires, DF, Argentina</t>
  </si>
  <si>
    <t>Izaguirre, I (corresponding author), Univ Buenos Aires, Fac Ciencias Exactas &amp; Nat, Dept Ecol Genet &amp; Evoluc, RA-1428 Buenos Aires, DF, Argentina.</t>
  </si>
  <si>
    <t>iri@ege.fcen.uba.ar</t>
  </si>
  <si>
    <t>10.1007/s00300-005-0065-6</t>
  </si>
  <si>
    <t>027LL</t>
  </si>
  <si>
    <t>WOS:000236417000003</t>
  </si>
  <si>
    <t>Passos, FD; Domaneschi, O</t>
  </si>
  <si>
    <t>A new species of Mysella Angas, 1877 (Bivalvia: Galeommatoidea) from Admiralty Bay, King George Island, South Shetlands, Antarctica, with data on its biology and functional anatomy</t>
  </si>
  <si>
    <t>Mysella narchii sp. nov. is described from the material collected in shallow-waters of Admiralty Bay at King George Island, South Shetlands, Antarctica. The species is characterized by shell features, biology and functional anatomy. The main shell features distinguishing M. narchii sp. nov. from all other Antarctic, Subantarctic and Magellanic Mysella spp. are provided, as are anatomical characteristics that separate this new species from M. charcoti (Lamy, 1906), its most similar congener and the first Antarctic species studied in its morpho-functional aspects. M. narchii sp. nov. is an infaunal, free-living, predominantly deposit-feeding bivalve; its creeping sole and the secretion of byssal threads allow it to crawl vertically and live sporadically on firm substrata.</t>
  </si>
  <si>
    <t>Univ Sao Paulo, Inst Biociencias, Dept Zool, BR-05422970 Sao Paulo, Brazil</t>
  </si>
  <si>
    <t>Passos, FD (corresponding author), Univ Sao Paulo, Inst Biociencias, Dept Zool, Caixa Postal 11461, BR-05422970 Sao Paulo, Brazil.</t>
  </si>
  <si>
    <t>flaviodp@ib.usp.br</t>
  </si>
  <si>
    <t>Passos, Flávio Dias/AAG-5430-2020; Passos, Flávio Dias/D-6679-2012</t>
  </si>
  <si>
    <t>Passos, Flávio Dias/0000-0002-8193-9874;</t>
  </si>
  <si>
    <t>10.1007/s00300-005-0068-3</t>
  </si>
  <si>
    <t>WOS:000236417000006</t>
  </si>
  <si>
    <t>Holmes, ND; Giese, M; Achurch, H; Robinson, S; Kriwoken, LK</t>
  </si>
  <si>
    <t>Behaviour and breeding success of gentoo penguins Pygoscelis papua in areas of low and high human activity</t>
  </si>
  <si>
    <t>HUMAN DISTURBANCE; PREDATION; ADELIE; REPRODUCTION; CONSERVATION; POPULATION; PATTERNS; ISLAND; AGE; PERFORMANCE</t>
  </si>
  <si>
    <t>A key factor influencing wildlife responses to human activity is the degree to which animals have been previously exposed to human stimuli. On subantarctic Macquarie Island, gentoo penguins Pygoscelis papua breed in areas of high and low human activity (on and off-station, respectively). We investigated the behaviour and breeding success of gentoo penguins on and off-station, by a) comparing the behavioural responses of guarding gentoos before, during and after exposure to standardised pedestrian approaches, and b) employing an observational study to determine how human activity may have contributed to within-season breeding success in light of other environmental and site variables. Behavioural responses to pedestrian visitation by gentoos off-station were significantly stronger than those of birds breeding on-station. However, no relationship was found between pedestrian activity and breeding success off-station. Breeding success was, however, positively related to colony size, and negatively related to the activity of other penguins, the number of nearby southern elephant seal Mirounga leonina harems and the location of colonies within short grassland. On-station, breeding success was amongst the highest recorded for that season. Habituation, predator exclusion and the relevance of these findings for management are discussed.</t>
  </si>
  <si>
    <t>Univ Tasmania, Sch Geog &amp; Environm Studies, Hobart, Tas 7001, Australia; Australian Antarctic Div, Antarctic Marine Living Resources, Kingston, Tas 7050, Australia; Australian Antarctic Div, Human Impacts Res Programme, Kingston, Tas 7050, Australia; Dept Primary Ind Water &amp; Environm, Nat Conservat Branch, Hobart, Tas 7001, Australia; NSW Dept Environm &amp; Conservat, Environm Protect &amp; Regulat Div, Hurstville, NSW 1481, Australia</t>
  </si>
  <si>
    <t>University of Tasmania; Australian Antarctic Division; Australian Antarctic Division</t>
  </si>
  <si>
    <t>Univ Tasmania, Sch Geog &amp; Environm Studies, Private Bag 78, Hobart, Tas 7001, Australia.</t>
  </si>
  <si>
    <t>ndholmes@utas.edu.au</t>
  </si>
  <si>
    <t>10.1007/s00300-005-0070-9</t>
  </si>
  <si>
    <t>WOS:000236417000007</t>
  </si>
  <si>
    <t>Wienecke, B; Robertson, G</t>
  </si>
  <si>
    <t>Comparison of foraging strategies of incubating king penguins Aptenodytes patagonicus from Macquarie and Heard islands</t>
  </si>
  <si>
    <t>SOUTHERN-OCEAN; OCEANOGRAPHIC FEATURES; MOROTEUTHIS-INGENS; CROZET ARCHIPELAGO; DIVING BEHAVIOR; NEW-ZEALAND; FRONTS; SQUID; PREY; DIET</t>
  </si>
  <si>
    <t>The foraging strategies of king penguins from Heard and Macquarie islands were compared using satellite telemetry, time-depth recorders and diet samples. Trip durations were 16.8 +/- 3.6 days and 14.8 +/- 4.1 days at Macquarie and Heard islands, respectively. At Macquarie Island, total distances travelled were 1281 +/- 203 km compared to 1425 +/- 516 km at Heard Island. The total time the penguins spent at sea was 393 +/- 66 h at Macquarie Island and 369 +/- 108 h at Heard Island. The penguins from Macquarie Island performed more deep dives than those from Heard Island. King penguins from Macquarie Island travelled 1.5 +/- 0.2 km h(-1) day(-1) compared to 1.3 +/- 0.1 km h(-1) day(-1). At Macquarie Island, 19% of dives were upto 70-90 m depth compared to 35% at Heard Island. The main dietary prey species were the fish Krefftychthis anderssoni and the squid Moroteuthis ingens in both groups. The differences in the at-sea distribution and the foraging behaviour of the two groups of penguins were possibly related to differences in oceanography and bathymetric conditions around the two islands. Dietary differences may be due to interannual variability in prey availability since the two colonies were studied during incubation but in different years.</t>
  </si>
  <si>
    <t>Australian Antarctic Div, Kingston, Tas 7050, Australia</t>
  </si>
  <si>
    <t>Wienecke, B (corresponding author), Australian Antarctic Div, 203 Channel Highway, Kingston, Tas 7050, Australia.</t>
  </si>
  <si>
    <t>barbara.wienecke@aad.gov.au</t>
  </si>
  <si>
    <t>10.1007/s00300-005-0074-5</t>
  </si>
  <si>
    <t>WOS:000236417000009</t>
  </si>
  <si>
    <t>Raupach, MJ; Thatje, S</t>
  </si>
  <si>
    <t>New records of the rare shrimp parasite Zonophryxus quinquedens Barnard, 1913 (Crustacea, Isopoda, Dajidae):: ecological and phylogenetic implications</t>
  </si>
  <si>
    <t>DEEP-SEA; MODEL; PERACARIDA; BOPYRIDAE; DECAPODA</t>
  </si>
  <si>
    <t>The rare dajid, Zonophryxus quinquedens represents the only known isopod parasiting on shrimps in Antarctic waters. In contrast to the Bopyridae, which typically live in the gill cavity of their crab host, dajid isopods are normally attached to the carapace of the parasited shrimp. Four specimens of Z. quinquedens Barnard, 1913 were collected in the eastern and western Weddell Sea, Antarctica, during the expeditions ANT XXI/2 in 2003/2004 and ANT XXII/3 in 2005. Molecular phylogenetic analyses, based on small subunit rRNA gene sequences, indicate a close relationship of Z. quinquedens to the Bopyridae. Possible ecological and physiological aspects of the parasite-host interaction are discussed.</t>
  </si>
  <si>
    <t>Ruhr Univ Bochum, Fak Biol, Lehrstuhl Spezielle Zool, D-44780 Bochum, Germany; Univ Southampton, Natl Oceanog Ctr, Southampton SO14 3ZH, Hants, England</t>
  </si>
  <si>
    <t>Ruhr University Bochum; NERC National Oceanography Centre; University of Southampton</t>
  </si>
  <si>
    <t>Ruhr Univ Bochum, Fak Biol, Lehrstuhl Spezielle Zool, Univ Str 150, D-44780 Bochum, Germany.</t>
  </si>
  <si>
    <t>10.1007/s00300-005-0069-2</t>
  </si>
  <si>
    <t>WOS:000236417000010</t>
  </si>
  <si>
    <t>Filler, DM; Reynolds, CM; Snape, I; Daugulis, AJ; Barnes, DL; Williams, PJ</t>
  </si>
  <si>
    <t>Filler, D. M.; Reynolds, C. M.; Snape, I.; Daugulis, A. J.; Barnes, D. L.; Williams, P. J.</t>
  </si>
  <si>
    <t>Advances in engineered remediation for use in the Arctic and Antarctica</t>
  </si>
  <si>
    <t>2-PHASE PARTITIONING BIOREACTOR; ALCALIGENES-XYLOSOXIDANS; PETROLEUM-HYDROCARBONS; FEEDING STRATEGIES; SITE REMEDIATION; TUNDRA SOILS; BIODEGRADATION; BIOREMEDIATION; DEGRADATION; MINERALIZATION</t>
  </si>
  <si>
    <t>Creative remediation schemes have been implemented with success at petroleum-contaminated sites in Alaska and Canada during the past decade. Contaminated media have been landfarmed, amended with fertilizers, augmented with microbial products, and manipulated with engineered systems. Phytoremediation developments and use of biodegradable synthetic and polymeric resins for potential use with petroleum and xenobiotic contaminants are on the horizon. Treatment of supra-permafrost water and melt-water runoff with permeable reactive barriers and partitioning bioreactors is now possible. Cost and time limitations will likely continue to drive remediation decisions in the Arctic. Environmental policy, environmental constraints, and cost will dictate what technologies are appropriate for Antarctic clean-up, although the pressure of time is less acute because land transfer and liability are not drivers. This paper discusses some recent advances in remediation engineering for use in polar regions. Conceptual models are presented, and case study treatment costs and durations are highlighted to aid environmental decision-making.</t>
  </si>
  <si>
    <t>Univ Alaska Fairbanks, Dept Civil &amp; Environm Engn, Fairbanks, AK 99775 USA; USA, Engineer Res Dev Ctr, Cold Reg Res &amp; Engn Lab, Hanover, NH 03755 USA; Australian Antarctic Div, Kingston, Tas 7050, Australia; Queens Univ, Dept Chem Engn, Kingston, ON K7L 3N6, Canada; Univ Cambridge, Scott Polar Res Inst, Cambridge CB2 1ER, England</t>
  </si>
  <si>
    <t>University of Alaska System; University of Alaska Fairbanks; United States Department of Defense; United States Army; U.S. Army Corps of Engineers; U.S. Army Engineer Research &amp; Development Center (ERDC); Cold Regions Research &amp; Engineering Laboratory (CRREL); Geospatial Research Laboratory (GRL); Australian Antarctic Division; Queens University - Canada; University of Cambridge</t>
  </si>
  <si>
    <t>Filler, DM (corresponding author), Univ Alaska Fairbanks, Dept Civil &amp; Environm Engn, POB 755900, Fairbanks, AK 99775 USA.</t>
  </si>
  <si>
    <t>ffdmf@uaf.edu</t>
  </si>
  <si>
    <t>Barnes, David/0000-0003-1479-6882</t>
  </si>
  <si>
    <t>1475-3057</t>
  </si>
  <si>
    <t>10.1017/S003224740500505X</t>
  </si>
  <si>
    <t>050WE</t>
  </si>
  <si>
    <t>WOS:000238119100004</t>
  </si>
  <si>
    <t>Gore, DB; Heiden, ES; Snape, I; Nash, G; Stevens, GW</t>
  </si>
  <si>
    <t>Grain size of activated carbon, and untreated and modified granular clinoptilolite under freeze-thaw: applications to permeable reactive barriers</t>
  </si>
  <si>
    <t>REMEDIATION; ROCK; TEMPERATURE; ANTARCTICA; ZEOLITE; CANADA</t>
  </si>
  <si>
    <t>Permeable reactive barriers are used to adsorb contaminants from soil water. Their fillings are granular materials whose stability under freezing conditions has not been demonstrated. In this research, three granular materials (activated carbon, raw clinoptilolite and a nutrient amended clinoptilolite) were subjected to freeze-thaw cycles at different moisture conditions, in order to simulate their use in permeable reactive barriers in areas of freezing ground. The &lt; 250 mu m fraction, which will potentially accumulate grain fragments, showed no change for the carbon, but an increase from similar to 1% to similar to 3% abundance by volume for the clinoptilolite with modes at 100-200 mu m. SEM images show cracks in the zeolite grains, forming fragments of the size observed in the particle size data. These findings may have implications for the long-term permeabilities of reactive barriers operated in areas of freezing ground.</t>
  </si>
  <si>
    <t>Univ Melbourne, Dept Chem &amp; Biomol Engn, Parkville, Vic 3010, Australia; Macquarie Univ, Dept Phyt Geog, N Ryde, NSW 2109, Australia; Australian Antarctic Div, Kingston, Tas 7050, Australia</t>
  </si>
  <si>
    <t>University of Melbourne; Macquarie University; Australian Antarctic Division</t>
  </si>
  <si>
    <t>Gore, DB (corresponding author), Univ Melbourne, Dept Chem &amp; Biomol Engn, Parkville, Vic 3010, Australia.</t>
  </si>
  <si>
    <t>Stevens, Geoffrey/0000-0002-5788-4682; Gore, Damian/0000-0002-0377-8518</t>
  </si>
  <si>
    <t>10.1017/S0032247406005109</t>
  </si>
  <si>
    <t>WOS:000238119100005</t>
  </si>
  <si>
    <t>Herber, BP</t>
  </si>
  <si>
    <t>Bioprospecting in Antarctica: the search for a policy regime</t>
  </si>
  <si>
    <t>This paper aims to elucidate the important economic and political aspects of an extremely complex policy issue involving biological prospecting (bioprospecting) in Antarctica. In addressing this rapidly growing global industry, which searches for commercially valuable biological and genetic resources in a world of biological diversity, it becomes obvious that a critical interface exists between Antarctica and the intertwined bioprospecting policies brought forth during recent decades by two treaties, the Convention on Biological Diversity and the United Nations Convention on the Law of the Sea. The analytical framework of the paper builds upon the economic concept of public goods within a political framework of international treaties and law. The concept of a national public good, associated with the sovereignty of a state (nation) over its biological and genetic resources, is the basis of such policy under the Biological Diversity Treaty. In practice, this jurisdiction applies both to the land area of a state and to the exclusive economic zone of a coastal state. The Law of the Sea Treaty, on the other hand, provides both a national public good connotation to exclusive economic zones while creating a global public good connotation for deep seabed mineral resources, with a related potential application to bioprospecting in the deep seabed. While the Antarctic Treaty System possesses several institutions that could be adapted to a bioprospecting policy regime, no such regime has been established up to the present. The paper concludes with a consideration of the critical question: is bioprospecting in Antarctica a national or global public good? While logic would appear to lead one toward the 'global' answer, multinational economic and political realities in today's world suggest that either a national public good approach, or a largely unregulated open access approach, is more likely to prevail.</t>
  </si>
  <si>
    <t>Univ Arizona, Dept Econ, Tucson, AZ 85721 USA</t>
  </si>
  <si>
    <t>University of Arizona</t>
  </si>
  <si>
    <t>Herber, BP (corresponding author), Univ Arizona, Dept Econ, Tucson, AZ 85721 USA.</t>
  </si>
  <si>
    <t>bherber@yahoo.com</t>
  </si>
  <si>
    <t>10.1017/S0032247406005158</t>
  </si>
  <si>
    <t>WOS:000238119100007</t>
  </si>
  <si>
    <t>Howkins, A</t>
  </si>
  <si>
    <t>Howkins, Adrian</t>
  </si>
  <si>
    <t>Icy relations: the emergence of South American Antarctica during the Second World War</t>
  </si>
  <si>
    <t>During the Second World War, both Chile and Argentina advanced sovereignty claims to the Antarctic Peninsula and surrounding sub-Antarctic islands that overlapped substantially with claims that the United Kingdom had made in 1908 and 1917. This article explores the emergence of the concept of a South American Antarctica during this period. Although, at one level, the two South American countries attempted to create a united front against the British, they actually decided to press their claims to Antarctica for different and sometimes conflicting reasons. In Argentina, nationalists connected the question of sovereignty in Antarctica with their claims to the Malvinas and with a broader struggle against a supposed British economic imperialism. In Chile, patriotic officials were less concerned with British claims to the Antarctic Peninsula and more worried about Argentina's growing interest in the region. The article concludes that a better understanding of the complex and contradictory history of the emergence of the idea of South American Antarctica during the Second World War leads to an enhanced appreciation of the subsequent development of the so-called 'Antarctic Problem' as it developed over the next 15 years. In order to avoid the artificiality of the term 'Falklands (Malvinas)', the British terms 'Falklands' and 'Falkland Islands' have been used when discussing the United Kingdom's position, and the Argentine term 'Malvinas' when discussing that of Argentina.</t>
  </si>
  <si>
    <t>Univ Texas, Dept Hist, Univ Stn 1, Austin, TX 78712 USA</t>
  </si>
  <si>
    <t>University of Texas System; University of Texas Austin</t>
  </si>
  <si>
    <t>Howkins, A (corresponding author), Univ Texas, Dept Hist, Univ Stn 1, B7000, Austin, TX 78712 USA.</t>
  </si>
  <si>
    <t>10.1017/S0032247406005274</t>
  </si>
  <si>
    <t>WOS:000238119100009</t>
  </si>
  <si>
    <t>Benn, DI</t>
  </si>
  <si>
    <t>Benn, Douglas I.</t>
  </si>
  <si>
    <t>Glaciers</t>
  </si>
  <si>
    <t>PROGRESS IN PHYSICAL GEOGRAPHY-EARTH AND ENVIRONMENT</t>
  </si>
  <si>
    <t>EQUILIBRIUM-LINE ALTITUDES; ANTARCTIC ICE-SHEET; LATE QUATERNARY GLACIATION; BASAL TILL SUCCESSION; LAST OUTBURST FLOOD; SUBGLACIAL TILL; LAKE VOSTOK; CORDILLERA BLANCA; OUTLET GLACIERS; FABRIC PATTERN</t>
  </si>
  <si>
    <t>Univ St Andrews, Sch Geog &amp; Geosci, St Andrews KY16 9AL, Fife, Scotland</t>
  </si>
  <si>
    <t>Benn, DI (corresponding author), Univ Ctr Svalbard, PB 156, N-9171 Longyearbyen, Svalbard, Norway.</t>
  </si>
  <si>
    <t>0309-1333</t>
  </si>
  <si>
    <t>1477-0296</t>
  </si>
  <si>
    <t>PROG PHYS GEOG</t>
  </si>
  <si>
    <t>Prog. Phys. Geogr.</t>
  </si>
  <si>
    <t>10.1191/0309133306pp491pr</t>
  </si>
  <si>
    <t>055KF</t>
  </si>
  <si>
    <t>WOS:000238448500008</t>
  </si>
  <si>
    <t>Renfrew, IA; Anderson, PS</t>
  </si>
  <si>
    <t>Profiles of katabatic flow in summer and winter over Coats Land, Antarctica</t>
  </si>
  <si>
    <t>Doppler sodar; hydraulic jump; Katabatic winds; low-level jet</t>
  </si>
  <si>
    <t>GREENLAND ICE-SHEET; MESOSCALE METEOROLOGICAL CONDITIONS; ATMOSPHERIC BOUNDARY-LAYER; DRONNING MAUD LAND; WIND REGIME; NUMERICAL SIMULATIONS; MOMENTUM BUDGET; SURFACE WINDS; ADELIE LAND; DYNAMICS</t>
  </si>
  <si>
    <t>Observations from a novel autonomous Doppler sodar wind profiling system are described and analysed. These include the first continuous wintertime soundings of katabatic winds over Antarctica-a continent with which they are synonymous. During 2002 and 2003 over 2600 wind profiles were taken during 'case-studies' of high-resolution sounding lasting hours to days. These case-studies have been subjectively classified as: synoptically driven, katabatically influenced (28 days): primarily katabatically driven flows (a subset of 16 days): or other flow types. The Doppler sodar observations were augmented by automatic weather station observations at the field site and further up the slope, as well as synoptic and upper-air observations at Halley Research Station, some 50 km distant on the Brunt Ice Shelf. In primarily katabatic flows there is a systematic change in the shape and depth of the low-level katabatic jet with wind speed. Relatively strong katabatic flows (maximum winds of typically 8-10 m s(-1)) have a jet maximum between 20 and 60 m above the surface and are relatively deep (up to 200 m); while moderate katabatic flows (48 m s(-1)) typically have a jet maximum between 3 and 30 m and are shallower (similar to 100 m), although they can also be more diffuse in structure with a wind speed maximum at higher altitude. In all katabatic flows there is backing of wind direction with height, consistent with decreasing friction away from the surface. During summertime katabatic flows there is a clear diurnal signature at all heights, although this is less pronounced in the surface layer where there seems to be a persistent 2-4 m s(-1) katabatic flow during all case-studies. Where the diumal forcing results in an abrupt katabatic flow deceleration, i.e. what may be a katabatic 'jump'. there is a concurrent vertical acceleration. Wind profiles from a recent numerical weather prediction study of idealized katabatic flows at this site compare favourably with selected mean profiles; the only significant difference is that the model's wind speed is too low over the lowest similar to 10 m.</t>
  </si>
  <si>
    <t>Renfrew, IA (corresponding author), Univ E Anglia, Sch Environm Sci, Norwich NR4 7TJ, Norfolk, England.</t>
  </si>
  <si>
    <t>i.renfrew@uea.ac.uk</t>
  </si>
  <si>
    <t>Renfrew, Ian A/E-4057-2010</t>
  </si>
  <si>
    <t>Renfrew, Ian/0000-0001-9379-8215</t>
  </si>
  <si>
    <t>NERC [bas010014] Funding Source: UKRI; Natural Environment Research Council [bas010014] Funding Source: researchfish</t>
  </si>
  <si>
    <t>ROYAL METEOROLOGICAL SOC</t>
  </si>
  <si>
    <t>104 OXFORD ROAD, READING RG1 7LJ, BERKS, ENGLAND</t>
  </si>
  <si>
    <t>A</t>
  </si>
  <si>
    <t>10.1256/qj.05.148</t>
  </si>
  <si>
    <t>053BM</t>
  </si>
  <si>
    <t>WOS:000238278600005</t>
  </si>
  <si>
    <t>Roscoe, HK; Marshall, GJ; King, JC</t>
  </si>
  <si>
    <t>Roscoe, H. K.; Marshall, G. J.; King, J. C.</t>
  </si>
  <si>
    <t>Low potential for stratospheric dynamical change to be implicated in the large winter warming in the central Antarctic Peninsula</t>
  </si>
  <si>
    <t>climate change; ozone layer; troposphere</t>
  </si>
  <si>
    <t>NCEP-NCAR REANALYSIS; SOUTHERN-HEMISPHERE; CLIMATE-CHANGE; NORTHERN-HEMISPHERE; OZONE DEPLETION; TROPOSPHERIC RESPONSE; ANNULAR MODES; SOLAR SIGNAL; TRENDS; VARIABILITY</t>
  </si>
  <si>
    <t>Stratospheric change associated with the Antarctic ozone hole is clearly implicated in changing surface climate near 65 degrees S in late summer, in both measurements and models, via downward propagation of height anomalies following the final warming. But one of the largest changes in Surface temperature in Antarctica has occurred in the Antarctic Peninsula at 60 to 65 degrees S in winter, and most of the change at 65 degrees S occurred before the ozone hole. Stratospheric change can cause tropospheric change in Antarctic winter by modifying the reflection and refraction of planetary waves, whereby a stronger stratospheric vortex moves the tropospheric jets polewards, which can modify the Southern Annular Mode (SAM) in surface pressure that forces the tropospheric circumpolar winds. We examine stratospheric influence on the SAM in winter by inter-annual correlation of the SAM with the solar-cycle and volcanic aerosols, which act to change forcing of the stratospheric vortex in winter. Correlations are a maximum in June (midwinter) and are significant then, but are poor averaged over winter months. Hence the potential of change in the stratosphere to change Antarctic tropospheric climate in winter by dynamical means is low. This negative result is important given the proven high potential for change in summer by dynamical means.</t>
  </si>
  <si>
    <t>Roscoe, HK (corresponding author), British Antarctic Survey, Madingley Rd, Cambridge CB3 0ET, England.</t>
  </si>
  <si>
    <t>h.roscoe@bas.ac.uk</t>
  </si>
  <si>
    <t>NERC [bas010003] Funding Source: UKRI; Natural Environment Research Council [bas010003] Funding Source: researchfish</t>
  </si>
  <si>
    <t>MALDEN</t>
  </si>
  <si>
    <t>COMMERCE PLACE, 350 MAIN ST, MALDEN 02148, MA USA</t>
  </si>
  <si>
    <t>10.1256/qj.05.81</t>
  </si>
  <si>
    <t>WOS:000238278600006</t>
  </si>
  <si>
    <t>Panikova, NS; Flanaganb, PW; Oechelc, WC; Mastepanovd, MA; Christensend, TR</t>
  </si>
  <si>
    <t>Microbial activity in soils frozen to below-39 °C</t>
  </si>
  <si>
    <t>psychrophiles; kinetic analysis; winter emission; CO2 entrapment; respiration; unfrozen water; arctic soil respiration</t>
  </si>
  <si>
    <t>ARCTIC TUNDRA; METABOLIC-ACTIVITY; CO2 EFFLUX; WINTER; TEMPERATURES; IDENTIFICATION; ADAPTATION; PERMAFROST; BACTERIA; RELEASE</t>
  </si>
  <si>
    <t>Recent research on life in extreme environments has shown that some microorganisms metabolize at extremely low temperatures in Arctic and Antarctic ice and permafrost. Here, we present kinetic data on CO2 and (CO2)-C-14 release from intact and C-14-glucose amended tundra soils (Barrow, Alaska) incubated for up to a year at 0 to -39 degrees C. The rate of CO2 production declined exponentially with temperature but it remained positive and measurable, e.g. 2-7 ng CO2-C cm(-3) soil d(-1), at -39 degrees C. The variation of CO2 release rate (v) was adequately explained by the double exponential dependence on temperature (T) and unfrozen water content (W) (r(2)&gt; 0.98): v=A exp(lambda T+kW) and where A, lambda and k are constants. The rate of (CO2)-C-14 release from added glucose declined more steeply with cooling as compared with the release of total CO2, indicating that (a) there could be some abiotic component in the measured flux of CO2 or (b) endogenous respiration is more cold-resistant than substrate-induced respiration. The respiration activity was completely eliminated by soil sterilization (1 h, 121 degrees C), stimulated by the addition of oxidizable substrate (glucose, yeast extract), and reduced by the addition of acetate, which inhibits microbial processes in acidic soils (pH 3-5). The tundra soil from Barrow displayed higher below-zero activity than boreal soils from West Siberia and Sweden. The permafrost soils (20-30 cm) were more active than the samples from seasonally frozen topsoil (0-10 cm, Barrow). Finding measurable respiration to -39 degrees C is significant for determining, understanding, and predicting current and future CO2 emission to the atmosphere and for understanding the low temperature limits of microbial activity on the Earth and on other planets. (c) 2005 Elsevier Ltd. All rights reserved.</t>
  </si>
  <si>
    <t>Stevens Inst Technol, Dept Chem &amp; Biol Chem, Hoboken, NJ 07030 USA; Global Environm Enterprises Inc, Chester, VA 23831 USA; San Diego State Univ, Global Change Res Grp, San Diego, CA 92182 USA; Lund Univ, Dept Phys Geog &amp; Ecosyst Anal, SE-22362 Lund, Sweden</t>
  </si>
  <si>
    <t>Stevens Institute of Technology; California State University System; San Diego State University; Lund University</t>
  </si>
  <si>
    <t>Stevens Inst Technol, Dept Chem &amp; Biol Chem, Castle Point Hudson, Hoboken, NJ 07030 USA.</t>
  </si>
  <si>
    <t>npanikov@stevens.edu</t>
  </si>
  <si>
    <t>yang, lixia/D-7815-2011; Mastepanov, Mikhail/G-1235-2016; Oechel, Walter/M-1347-2019; Oechel, Walter/F-9361-2010</t>
  </si>
  <si>
    <t>Mastepanov, Mikhail/0000-0002-5543-0302; Oechel, Walter/0000-0002-3504-026X; Christensen, Torben R./0000-0002-4917-148X</t>
  </si>
  <si>
    <t>1879-3428</t>
  </si>
  <si>
    <t>10.1016/j.soilbio.2005.07.004</t>
  </si>
  <si>
    <t>036DQ</t>
  </si>
  <si>
    <t>WOS:000237051600016</t>
  </si>
  <si>
    <t>Hofmeyr, GJG; Bester, MN; Makhado, AB; Pistorius, PA</t>
  </si>
  <si>
    <t>Hofmeyr, G. J. G.; Bester, M. N.; Makhado, A. B.; Pistorius, P. A.</t>
  </si>
  <si>
    <t>Population changes in subantarctic and Antarctic fur seals at Marion Island</t>
  </si>
  <si>
    <t>SOUTH AFRICAN JOURNAL OF WILDLIFE RESEARCH</t>
  </si>
  <si>
    <t>Arctocephalus gazella; Arctocephalus tropicalis; colonization; hybridization; fur seals; Marion Island; population change; Southern Ocean; spatial distribution</t>
  </si>
  <si>
    <t>ARCTOCEPHALUS-TROPICALIS; PUP GROWTH; GAZELLA; MORTALITY; PATTERNS; BEHAVIOR; CROZET; CHOICE; SIZES</t>
  </si>
  <si>
    <t>Counts at Marion Island during the 2003/04 breeding season indicated a pup production of 16 045 for Subantarctic fur seals, Arctocephalus tropicalis, and 759 for the sympatric population of Antarctic fur seal, A. gazella. While the mean annual rate of increase of 5.2% for the Subantarctic fur seal population at Marion Island for the period 1994/95-2003/04 was approximately half of that recorded between 1951 and the late 1980s,that of the Antarctic fur seal population for the same period continues to be high (17.0%). We suggest that the dissimilarity in population growth between the two species is due to differences in the availability of preferred terrestrial habitat, since their diets are very similar. Together with the neighbouring Prince Edward Island, this archipelago supports a population of approximately 150 000 Subantarctic fur seals, which has grown at a mean annual rate of 5.3% over the past 15 years. The population of Antarctic fur seals numbers approximately 5800, and has grown at a mean annual rate of 14.8% over the past 21 years. While there appears to be limited opportunity for heterospecific mating, low levels of hybridization continue.</t>
  </si>
  <si>
    <t>Univ Pretoria, Mammal Res Inst, Dept Zool &amp; Entomol, ZA-0002 Pretoria, South Africa</t>
  </si>
  <si>
    <t>Hofmeyr, GJG (corresponding author), Univ Pretoria, Mammal Res Inst, Dept Zool &amp; Entomol, ZA-0002 Pretoria, South Africa.</t>
  </si>
  <si>
    <t>Bester, Marthán N/E-5387-2010; Hofmeyr, G. J. Greg/AAV-3286-2020</t>
  </si>
  <si>
    <t>Hofmeyr, G. J. Greg/0000-0003-0283-6058; Pistorius, Pierre/0000-0001-6561-7069</t>
  </si>
  <si>
    <t>SOUTHERN AFRICAN WILDLIFE MANAGEMENT ASSOC</t>
  </si>
  <si>
    <t>BLOUBERGSTRAND</t>
  </si>
  <si>
    <t>P O BOX 217, BLOUBERGSTRAND 7437, SOUTH AFRICA</t>
  </si>
  <si>
    <t>0379-4369</t>
  </si>
  <si>
    <t>1996-8477</t>
  </si>
  <si>
    <t>S AFR J WILDL RES</t>
  </si>
  <si>
    <t>South Afr. J. Wildl. Res.</t>
  </si>
  <si>
    <t>056PA</t>
  </si>
  <si>
    <t>WOS:000238536400006</t>
  </si>
  <si>
    <t>López-Puertas, M; Funke, B; Von Clarmann, T; Fischer, H; Stiller, GP</t>
  </si>
  <si>
    <t>Lopez-Puertas, M.; Funke, B.; Von Clarmann, T.; Fischer, H.; Stiller, G. P.</t>
  </si>
  <si>
    <t>The stratospheric and mesospheric NOy in the 2002-2004 polar winters as measured by MIPAS/ENVISAT</t>
  </si>
  <si>
    <t>SPACE SCIENCE REVIEWS</t>
  </si>
  <si>
    <t>NOy; stratosphere; mesosphere; MIPAS; ENVISAT</t>
  </si>
  <si>
    <t>ODD NITROGEN; VARIABILITY; SIMULATIONS; TRANSPORT; ELECTRONS</t>
  </si>
  <si>
    <t>The Michelson Interferometer for Passive Atmospheric Sounding (MIPAS) on board ENVISAT, provided global (pole-to-pole, the polar night winter regions) measurements of nearly all constituents of the NOy family (including NO, NO2, HNO3 and H2O5) from July 2002 to the end of March 2004 from the upper stratosphere up to the middle mesosphere. The inter-annual variability of the NO2 and HNO3 abundances in the Arctic and Antarctic winters from September 2002 through March 2004 was enormous with tremendous hemispheric asymmetry and extraordinary values in two winters. The origin of these variations and of the extreme measured values has been analyzed on the basis of the changing atmospheric dynamics (using the CH4 tracer) and solar activity, including the extraordinary solar protons events of Oct-Nov 2003.</t>
  </si>
  <si>
    <t>CSIC, Inst Astrofis Andalucia, E-18008 Granada, Spain; Forschungszentrum Karlsruhe, Inst Meteorol &amp; Klimaforsch, D-76021 Karlsruhe, Germany; Univ Karlsruhe, Karlsruhe, Germany</t>
  </si>
  <si>
    <t>Consejo Superior de Investigaciones Cientificas (CSIC); CSIC - Instituto de Astrofisica de Andalucia (IAA); Helmholtz Association; Karlsruhe Institute of Technology; Helmholtz Association; Karlsruhe Institute of Technology</t>
  </si>
  <si>
    <t>López-Puertas, M (corresponding author), CSIC, Inst Astrofis Andalucia, Apdo Postal 3004, E-18008 Granada, Spain.</t>
  </si>
  <si>
    <t>puertas@iaa.es</t>
  </si>
  <si>
    <t>von Clarmann, Thomas/A-7287-2013; Stiller, Gabriele P./A-7340-2013; Funke, Bernd/C-2162-2008; Lopez-Puertas, Manuel/M-8219-2013</t>
  </si>
  <si>
    <t>Stiller, Gabriele P./0000-0003-2883-6873; von Clarmann, Thomas/0000-0003-2219-3379; Funke, Bernd/0000-0003-0462-4702; Lopez-Puertas, Manuel/0000-0003-2941-7734</t>
  </si>
  <si>
    <t>0038-6308</t>
  </si>
  <si>
    <t>1572-9672</t>
  </si>
  <si>
    <t>SPACE SCI REV</t>
  </si>
  <si>
    <t>Space Sci. Rev.</t>
  </si>
  <si>
    <t>10.1007/s11214-006-9073-2</t>
  </si>
  <si>
    <t>139RF</t>
  </si>
  <si>
    <t>WOS:000244449400033</t>
  </si>
  <si>
    <t>Shaw, AJ</t>
  </si>
  <si>
    <t>A revision of the moss genus Pohlia Hedw. (Mniaceae) in Australia</t>
  </si>
  <si>
    <t>SYSTEMATIC BOTANY</t>
  </si>
  <si>
    <t>Ausrtralian mosses; Bryaceae; Mniaceae; Mniobryum; BMW; Tasmanian mosses</t>
  </si>
  <si>
    <t>PHYLOGENETIC-RELATIONSHIPS; DNA-SEQUENCES; NORTH-AMERICA; SP-NOV; MUSCI; CHLOROPLAST; NUCLEAR; AZORES; EUROPE; LIST</t>
  </si>
  <si>
    <t>The moss genus Pohlia is most diverse in the Northern Hemisphere, but ten species occur in Australia, mostly in New South Wales and Tasmania. One species, P clauveformis, is endemic to Australia; P temlifolia is disjunct between Australia and South America; P flexousa is widespread in southern Asia, and P inflexa is high-latitude, circum-Antarctic. The remaining six species are more or less widespread in the Northern Hemisphere. Keys, descriptions, synonomy, and illustrations are provided. Pohlia mielichoferia and P turgens are newly synonymized with P. clavaeformis; P flexuosa and P inflexa are newly reported from Australia.</t>
  </si>
  <si>
    <t>Duke Univ, Dept Biol, Durham, NC 27708 USA</t>
  </si>
  <si>
    <t>Duke University</t>
  </si>
  <si>
    <t>Shaw, AJ (corresponding author), Duke Univ, Dept Biol, Durham, NC 27708 USA.</t>
  </si>
  <si>
    <t>shaw@duke.edu</t>
  </si>
  <si>
    <t>AMER SOC PLANT TAXONOMISTS</t>
  </si>
  <si>
    <t>BRONX</t>
  </si>
  <si>
    <t>NEW YORK BOTANICAL GARDEN, BRONX, NY 10458-5126 USA</t>
  </si>
  <si>
    <t>0363-6445</t>
  </si>
  <si>
    <t>SYST BOT</t>
  </si>
  <si>
    <t>Syst. Bot.</t>
  </si>
  <si>
    <t>10.1600/036364406777585694</t>
  </si>
  <si>
    <t>Plant Sciences; Evolutionary Biology</t>
  </si>
  <si>
    <t>053CJ</t>
  </si>
  <si>
    <t>WOS:000238281000003</t>
  </si>
  <si>
    <t>Wang, QF; Miao, JL; Hou, YH; Ding, Y; Li, GY</t>
  </si>
  <si>
    <t>Wang, Quan-Fu; Miao, Jin-Lai; Hou, Yan-Hua; Ding, Yu; Li, Guang-You</t>
  </si>
  <si>
    <t>Expression of CspA and GST by an Antarctic psychrophilic bacterium Colwellia sp NJ341 at near-freezing temperature</t>
  </si>
  <si>
    <t>WORLD JOURNAL OF MICROBIOLOGY &amp; BIOTECHNOLOGY</t>
  </si>
  <si>
    <t>cold-adaptation; CspA; GST; near-freezing temperature; psychrophilic bacterium</t>
  </si>
  <si>
    <t>COLD-SHOCK; PSYCHROTROPHIC BACTERIUM; ESCHERICHIA-COLI; ADAPTATION; PROTEINS; GLUTATHIONE; TOLERANCE; GROWTH; FAMILY</t>
  </si>
  <si>
    <t>A psychrotrophic bacterium Colwellia sp. NJ341 from Antarctic sea ice could grow at -5 and 22 degrees C, and the extent of cellular protein content and growth were greater at low temperatures (0-10 degrees C) than at higher temperatures. SDS-PAGE analysis demonstrated the presence of a 7 kDa cold-shock protein. The further result of two-dimensional electrophoresis (2-DE) showed that two proteins a and c were newly synthesized at near-freezing temperatures. With matrix-assisted laser desorption/ionization mass spectrometry (MALDI-TOF MS) analysis, proteins a and c were identified as glutathione S-transferase (GST) and cold-shock protein A (CspA), respectively, which were involved in cold-adaptation at near-freezing temperature in an Antarctic psychrophilic bacterium Colwellia sp. NJ341.</t>
  </si>
  <si>
    <t>State Ocean Adm, Inst Oceanog 1, Key Lab Marine Bioact Substances, Qingdao 266061, Peoples R China; Ocean Univ China, Coll Life Sci, Qingdao 266003, Peoples R China; Harbin Inst Technol, Weihai 264209, Peoples R China</t>
  </si>
  <si>
    <t>First Institute of Oceanography, Ministry of Natural Resources; Ocean University of China; Harbin Institute of Technology</t>
  </si>
  <si>
    <t>Miao, JL (corresponding author), State Ocean Adm, Inst Oceanog 1, Key Lab Marine Bioact Substances, Qingdao 266061, Peoples R China.</t>
  </si>
  <si>
    <t>miaojinlai@163.com</t>
  </si>
  <si>
    <t>ding, Yunya/HHS-9589-2022; Ding, Yuyan/HWQ-3664-2023; wang, quan fu/K-9703-2018</t>
  </si>
  <si>
    <t>wang, quan fu/0000-0002-3885-5464</t>
  </si>
  <si>
    <t>0959-3993</t>
  </si>
  <si>
    <t>1573-0972</t>
  </si>
  <si>
    <t>WORLD J MICROB BIOT</t>
  </si>
  <si>
    <t>World J. Microbiol. Biotechnol.</t>
  </si>
  <si>
    <t>10.1007/s11274-005-9010-7</t>
  </si>
  <si>
    <t>Biotechnology &amp; Applied Microbiology</t>
  </si>
  <si>
    <t>044CR</t>
  </si>
  <si>
    <t>WOS:000237650400001</t>
  </si>
  <si>
    <t>Blaker, AT; Sinha, B; Ivchenko, VO; Wells, NC; Zalesny, VB</t>
  </si>
  <si>
    <t>Identifying the roles of the ocean and atmosphere in creating a rapid equatorial response to a Southern Ocean anomaly</t>
  </si>
  <si>
    <t>ANTARCTIC SEA-ICE; TELECONNECTIONS; VARIABILITY; OSCILLATION; CLIMATE; CIRCULATION; WAVE</t>
  </si>
  <si>
    <t>Recent research has identified a rapid ocean response mechanism to salinity anomalies in the Southern Ocean using an idealised ocean model. Here we examine the relative importance of the ocean and atmosphere in creating an equatorial response to a Southern Ocean anomaly. Using a coupled climate model with realistic bottom topography and land relief, two rapid teleconnections are produced from a high latitude anomaly. An equatorial ocean response can be seen after 30 days. The mechanism producing this response is shown to rely on barotropic and baroclinic oceanic wave propagation. A second, atmospheric, response is seen in the Northern Hemisphere (NH) high latitudes, driven by atmospheric Rossby waves. The ocean quickly responds to the atmospheric signal above it, resulting in sea surface temperature anomalies at NH high latitudes.</t>
  </si>
  <si>
    <t>Univ Southampton, Natl Oceanog Ctr, Southampton SO14 3ZH, Hants, England; Inst Numer Math, Moscow 119991, Russia</t>
  </si>
  <si>
    <t>University of Southampton; NERC National Oceanography Centre</t>
  </si>
  <si>
    <t>Blaker, AT (corresponding author), Univ Southampton, Natl Oceanog Ctr, Waterfront Campus,European Way, Southampton SO14 3ZH, Hants, England.</t>
  </si>
  <si>
    <t>atb299@noc.soton.ac.uk</t>
  </si>
  <si>
    <t>Blaker, Adam T/I-8861-2012</t>
  </si>
  <si>
    <t>Blaker, Adam/0000-0001-5454-0131</t>
  </si>
  <si>
    <t>NERC [soc010002] Funding Source: UKRI; Natural Environment Research Council [soc010002, NER/T/S/2002/00455] Funding Source: researchfish</t>
  </si>
  <si>
    <t>MAR 31</t>
  </si>
  <si>
    <t>L06720</t>
  </si>
  <si>
    <t>10.1029/2005GL025474</t>
  </si>
  <si>
    <t>031UM</t>
  </si>
  <si>
    <t>WOS:000236729700003</t>
  </si>
  <si>
    <t>Vetter, W; Schlatterer, J; Gleixner, G</t>
  </si>
  <si>
    <t>Experiments directed to the compound-specific determination of the stable carbon isotope ratios of the Toxaphene congener B8-1413 in two technical mixtures and Antarctic Weddell seal</t>
  </si>
  <si>
    <t>JOURNAL OF CHROMATOGRAPHY A</t>
  </si>
  <si>
    <t>GC-IRMS; delta C-13 value; 2-endo,3-exo,5-endo,6-exo,8,8,10,10-octachlorobornane; B8-1413; toxaphene</t>
  </si>
  <si>
    <t>2-DIMENSIONAL GAS-CHROMATOGRAPHY; AROCLORS</t>
  </si>
  <si>
    <t>The carbon stable isotope ratio (delta C-13 value) of an environmentally-relevant Toxaphene congener in technical products and a biological sample from a remote region was in the focus of this work. For this reason, the major octachlorobornane residue of the multicomponent pesticide Toxaphene in biological samples, 2-endo,3-exo,5-endo,6-exo,8,8,10,10-octachlorobornane (B8-1413 or P26), was quantitatively enriched from two technical Toxaphene mixtures (Toxaphene and Melipax) in duplicates as well as from an Antarctic Weddell seal sample. Normal phase followed by reversed-phase high-performance liquid chromatography (HPLC) with three columns, respectively, coupled in series was used for this purpose. Four of the five fractionated samples fulfilled the requirement of an interference-free GC-elution for subsequent determination of the delta C-13 value by gas chromatography interfaced to an isotope ratio mass spectrometer (GC-IRMS). B8-1413 in Toxaphene (n = 1) was more depleted in C-12 than in Melipax (n = 2), which agrees with previous results obtained for the entire mixtures. The B8-1413 isolate from a Weddell seal sample from the Antarctic showed a 8 degrees C value between the two technical products. Although a source appointment to the one or the other product was not possible, this example indicates that long range transport to the Antarctic and by uptake and food-chain bioaccumulation of B8-1413 in seals did not change the delta C-13 value significantly. The observed differences in one duplicate sample indicate that statistic evaluation of samples used for isotope ratio MS measurements is an important issue. (c) 2006 Elsevier B.V. All rights reserved.</t>
  </si>
  <si>
    <t>Univ Hohenheim, Inst Food Chem, D-70599 Stuttgart, Germany; Max Planck Inst Biogeochem, D-07701 Jena, Germany</t>
  </si>
  <si>
    <t>University Hohenheim; Max Planck Society</t>
  </si>
  <si>
    <t>Univ Hohenheim, Inst Food Chem, Garbenstr 28, D-70599 Stuttgart, Germany.</t>
  </si>
  <si>
    <t>w-vetter@uni-hohenheim.de</t>
  </si>
  <si>
    <t>Gleixner, Gerd/M-8519-2017; Gleixner, Gerd/O-4215-2019</t>
  </si>
  <si>
    <t>Gleixner, Gerd/0000-0002-4616-0953; Gleixner, Gerd/0000-0002-4616-0953</t>
  </si>
  <si>
    <t>0021-9673</t>
  </si>
  <si>
    <t>1873-3778</t>
  </si>
  <si>
    <t>J CHROMATOGR A</t>
  </si>
  <si>
    <t>J. Chromatogr. A</t>
  </si>
  <si>
    <t>10.1016/j.chroma.2006.01.064</t>
  </si>
  <si>
    <t>027TR</t>
  </si>
  <si>
    <t>WOS:000236439000022</t>
  </si>
  <si>
    <t>Turner, J; Lachlan-Cope, TA; Colwell, S; Marshall, GJ; Connolley, WM</t>
  </si>
  <si>
    <t>Significant warming of the Antarctic winter troposphere</t>
  </si>
  <si>
    <t>TEMPERATURE TRENDS; CLIMATE-CHANGE; SURFACE; VARIABILITY; OCEAN</t>
  </si>
  <si>
    <t>We report an undocumented major warming of the Antarctic winter troposphere that is larger than any previously identified regional tropospheric warming on Earth. This result has come to light through an analysis of recently digitized and rigorously quality controlled Antarctic radiosonde observations. The data show that regional midtropospheric temperatures have increased at a statistically significant rate of 0.5 degrees to 0.7 degrees Celsius per decade over the past 30 years. Analysis of the time series of radiosonde temperatures indicates that the data are temporally homogeneous. The available data do not allow us to unambiguously assign a cause to the tropospheric warming at this stage.</t>
  </si>
  <si>
    <t>British Antarctic Survey, NERC, Cambridge CB3 0ET, England.</t>
  </si>
  <si>
    <t>j.turner@bas.ac.uk</t>
  </si>
  <si>
    <t>Turner, John/0000-0002-6111-5122</t>
  </si>
  <si>
    <t>10.1126/science.1121652</t>
  </si>
  <si>
    <t>027BD</t>
  </si>
  <si>
    <t>WOS:000236387800042</t>
  </si>
  <si>
    <t>Liu, XD; Li, HC; Sun, LG; Yin, XB; Zhao, SP; Wang, YH</t>
  </si>
  <si>
    <t>δ13C and δ15N in the ornithogenic sediments from the Antarctic maritime as palaeoecological proxies during the past 2000 yr</t>
  </si>
  <si>
    <t>ornithogenic sediments; carbon and nitrogen isotope; palaeoecology; penguin; Antarctica</t>
  </si>
  <si>
    <t>SOUTH SHETLAND ISLANDS; DRONNING MAUD LAND; MARINE FOOD-WEB; STABLE-ISOTOPES; PENGUIN POPULATIONS; SEAL POPULATIONS; AGE CALIBRATION; ORGANIC-MATTER; LAKE-SEDIMENTS; LATE HOLOCENE</t>
  </si>
  <si>
    <t>In this paper, we have examined carbon and nitrogen isotopic compositions in two ornithogenic sediment profiles from the Ardley Island and Barton Peninsula of Antarctica for palaeoecological changes during the past 2000 yr. The delta(13)C values of the two sediment profiles range from -22.26 parts per thousand to - 19.15 parts per thousand (PDB) in Core G and from -24.01 parts per thousand to - 19.87 parts per thousand in profile A, showing that the predominant carbon source in the sediments plausibly comes from terrestrial and aquatic plants in Antarctic such as mosses, lichens, and algae in lakes. As these delta(13)C values are also close to those in the fresh lake sediments that are not influenced by penguin guano, one may not use the delta(13)C values as evidence for the influence of guano on the sediments. The delta(15)N values of the two profiles range from 4.75 parts per thousand to 18.34 parts per thousand (air) and from 5.17 parts per thousand to 10.38 parts per thousand for Core G and Core A, respectively. The delta(15)N variations have positive correlations with the trends of the bio-element contents in the sediments. As the levels of these bioelements in ornithogenic sediments had been used to reconstruct the changes of historical penguin population and tundra vegetation abundance and diversity, we then suggest that the delta(15)N records can be utilized to study palaeoecological processes of penguin. Our results show that penguin population and activity has generally decreased over the past 2000 yr. From 1300 to 900 yr BP and from 1790 to 1860 AD, penguin population and activity experienced two strong decreases. It will be interesting to understand the cause of these decreases. (c) 2006 Elsevier B.V. All rights reserved.</t>
  </si>
  <si>
    <t>Univ Sci &amp; Technol China, Inst Polar Environm, Hefei 230026, Anhui, Peoples R China; Univ So Calif, Dept Earth Sci, Los Angeles, CA 90089 USA; Southwest Univ, Coll Resource &amp; Environm Sci, Chongqing 400715, Peoples R China</t>
  </si>
  <si>
    <t>Chinese Academy of Sciences; University of Science &amp; Technology of China, CAS; University of Southern California; Southwest University - China</t>
  </si>
  <si>
    <t>Univ Sci &amp; Technol China, Inst Polar Environm, Hefei 230026, Anhui, Peoples R China.</t>
  </si>
  <si>
    <t>Li, HongChun/AAJ-4053-2021</t>
  </si>
  <si>
    <t>Li, HongChun/0000-0001-9614-7119</t>
  </si>
  <si>
    <t>MAR 30</t>
  </si>
  <si>
    <t>10.1016/j.epsl.2006.01.018</t>
  </si>
  <si>
    <t>029YP</t>
  </si>
  <si>
    <t>WOS:000236600600011</t>
  </si>
  <si>
    <t>Staiger, JW; Marchant, DR; Schaefer, JM; Oberholzer, P; Johnson, JV; Lewis, AR; Swanger, KM</t>
  </si>
  <si>
    <t>Plio-Pleistocene history of Ferrar Glacier, Antarctica: Implications for climate and ice sheet stability</t>
  </si>
  <si>
    <t>Antarctica; Ferrar Glacier; Pliocene; Quaternary; cosmogenic; Dry Valleys; East Antarctic Ice Sheet</t>
  </si>
  <si>
    <t>SOUTHERN VICTORIA LAND; SITU COSMOGENIC BE-10; DRY VALLEYS REGION; TRANSANTARCTIC-MOUNTAINS; TAYLOR GLACIER; BEACON VALLEY; EXPOSURE AGES; MIOCENE; HE-3; PALEOCLIMATE</t>
  </si>
  <si>
    <t>The areal distribution and elevation of glacial drifts in Vernier Valley, southern Victoria Land, are used to reconstruct the Plio-Pleistocene history of upper Ferrar Glacier. 21 Ne cosmogenic-nuclide analyses of surface cobbles on four moraines, Ferrar 1, 2, 3, and 4, provide age control. A mininium-age estimate for Ferrar Drifts calculated by assuming zero surface erosion indicates that the oldest moraine, Ferrar 4, was deposited at least similar to 3400 ka. Our preferred age model, which applies a very conservative erosion rate of 5 cm Ma(-1) in age calculations, suggests that Ferrar 4 is similar to 4000 ka; Ferrar 3 is similar to 1200 ka; and Ferrar 2 is similar to 700 ka. Based on glacial geologic data, Ferrar I is modern; cosmogenic ages for cobbles on this moraine suggest a value for nuclide inheritance of similar to 50 ka. The Ferrar drifts are most easily interpreted in terms of a progressive reduction in the ice-surface elevation of upper Ferrar Glacier during Plio-Pleistocene time. Relative to today, the Surface of upper Ferrar Glacier was similar to 100 to 125 m higher during the Pliocene Climatic Optimum and similar to 50 m higher during early to mid Quaternary time. Conversely, during MIS 2, the ice-surface elevation of upper Ferrar Glacier was likely no larger than today and may have stood below modern levels. The texture and sedimentology of all Ferrar drifts indicate that during ice recession from Vernier Valley the upper Ferrar Glacier lacked surface-melting ablation zones, even during the Pliocene Climatic Optimum. Results from a simple 2-D glaciological flow-band model demonstrate that upper Ferrar Glacier also lacked basal-melting zones during ice recession. We show that the development of weathering pits and desert varnish on cobbles exposed at the surface of Ferrar drifts varies in accord with cosmogenic age. The mean width and depth of the largest surface pits on boulders from Ferrar drifts increases by similar to 10 mm Ma(-1) and similar to 6.7 mm Ma(-1), respectively; the maximum thickness of desert varnish oil surface boulders increases by similar to 1.5 min Ma(-1). These rates may be used to help calculate ages for dolerite-rich drifts elsewhere in the western Dry Valleys region. The general stability of the ice-surface elevation of upper Ferrar Glacier, and of the landscape in Vernier Valley, suggests minimal climatic amelioration in the upland region of the Dry Valleys during the last similar to 4 Ma. (c) 2006 Elsevier B.V. All rights reserved.</t>
  </si>
  <si>
    <t>Boston Univ, Dept Earth Sci, Boston, MA 02215 USA; ETH, Inst Isotope Geol &amp; Mineral Resources, CH-8092 Zurich, Switzerland; Univ Montana, Dept Comp Sci, Missoula, MT 59812 USA; Byrd Polar Res Ctr, Columbus, OH 43210 USA</t>
  </si>
  <si>
    <t>Boston University; Swiss Federal Institutes of Technology Domain; ETH Zurich; University of Montana System; University of Montana; University System of Ohio; Ohio State University</t>
  </si>
  <si>
    <t>Boston Univ, Dept Earth Sci, Boston, MA 02215 USA.</t>
  </si>
  <si>
    <t>jane.staiger@dal.ca; rnarchant@bu.edu; schafer@ldeo.columbia.edu; oberholzer@erdw.ethz.ch; johnson@cs.umt.edu; lewis.1019@osu.edu</t>
  </si>
  <si>
    <t>; Willenbring, Jane/B-6431-2011</t>
  </si>
  <si>
    <t>Johnson, Jesse/0000-0002-7387-6500; Willenbring, Jane/0000-0003-2722-9537</t>
  </si>
  <si>
    <t>10.1016/j.epsl.2006.01.037</t>
  </si>
  <si>
    <t>WOS:000236600600016</t>
  </si>
  <si>
    <t>Makinson, K; Schröder, M; Osterhus, S</t>
  </si>
  <si>
    <t>Effect of critical latitude and seasonal stratification on tidal current profiles along Ronne Ice Front, Antarctica -: art. no. C03022</t>
  </si>
  <si>
    <t>SOUTHERN WEDDELL SEA; CONTINENTAL-SHELF; BAROTROPIC TIDES; BARENTS-SEA; ROSS SEA; BENEATH; CIRCULATION; NORTH; MODEL</t>
  </si>
  <si>
    <t>The ice front region of Ronne Ice Shelf lies near the critical latitude of the semidiurnal M-2 tide, the principal tidal constituent in the southern Weddell Sea. Here the Coriolis frequency almost equals the M-2 tidal frequency, resulting in a strong dependence of the M-2 tidal currents on depth and stratification and a boundary layer that can occupy the entire water column. Using data from four long-term moorings along Ronne Ice Front, we confirm the presence of strongly depth-dependent semidiurnal tidal currents and their sensitivity to changes in stratification. The time series show dramatic seasonal changes in tidal current profiles and significant interannual variability. During periods of stratification, the amplitude of the semidiurnal tides in the mid-water column shows a twofold increase and, despite being several kilometers offshore from the ice front, the tidal currents clearly show a second boundary layer originating from the adjacent ice shelf base. Together, these two boundary layers occupy most of the water column, up to 600 m deep, until intense sea ice formation and the production of High-Salinity Shelf Water erodes the vertical stratification. During winter when homogeneous conditions prevail, a single bottom boundary layer occupies the entire water column at some locations. This strong seasonality and sensitivity of the M-2 tidal current to stratification highlights the difficulties of interpreting current data from short-term moorings while demonstrating that it is the best indicator for characterizing changes in stratification after direct observations of density variations.</t>
  </si>
  <si>
    <t>British Antarctic Survey, NERC, Cambridge CB3 0ET, England; Alfred Wegener Inst Polar &amp; Marine Res, D-27515 Bremerhaven, Germany; Univ Bergen, Inst Geophys, Bjerknes Ctr Climate Res, N-5007 Bergen, Norway</t>
  </si>
  <si>
    <t>UK Research &amp; Innovation (UKRI); Natural Environment Research Council (NERC); NERC British Antarctic Survey; Helmholtz Association; Alfred Wegener Institute, Helmholtz Centre for Polar &amp; Marine Research; Bjerknes Centre for Climate Research; University of Bergen</t>
  </si>
  <si>
    <t>kmak@bas.ac.uk; mschroeder@awi-bremerhaven.de; svein.osterhus@gfi.uib.no</t>
  </si>
  <si>
    <t>Makinson, Keith/A-2495-2013</t>
  </si>
  <si>
    <t>Makinson, Keith/0000-0002-5791-1767</t>
  </si>
  <si>
    <t>C3</t>
  </si>
  <si>
    <t>C03022</t>
  </si>
  <si>
    <t>10.1029/2005JC003062</t>
  </si>
  <si>
    <t>031VC</t>
  </si>
  <si>
    <t>WOS:000236731400002</t>
  </si>
  <si>
    <t>Scheuer, C; Gohl, K; Larter, RD; Rebesco, M; Udintsev, G</t>
  </si>
  <si>
    <t>Variability in Cenozoic sedimentation along the continental rise of the Bellingshausen Sea, West Antarctica</t>
  </si>
  <si>
    <t>West Antarctica; Bellingshausen Sea; continental margin; continental rise; sedimentation; Miocene; seismic reflection; sediment drifts</t>
  </si>
  <si>
    <t>PACIFIC MARGIN; SUBDUCTION HISTORY; GRAVITY-DATA; REFLECTION; CRYOSPHERE; PENINSULA; SEQUENCES; DEPTH; MA</t>
  </si>
  <si>
    <t>Seismic reflection profiles, bathymetric and magnetic data collected along and across the continental margin of the Bellingshausen Sea provide new constraints and interpretations of the oceanic basement structure and Cenozoic glacial history of West Antarctica. Evidence for tectonic boundaries that lie perpendicular to the margin has been identified oil the basis of one previously unpublished along-slope multichannel seismic reflection profile. By combining several magnetic data sets, we determined basement ages and verified the positions of possible fracture zones, enabling us to improve previous tectonic and stratigraphic models. We establish three main sediment units on the basis of one seismic along-slope profile and by correlation to the continental shelf via one cross-slope profile. We interpret a lowermost unit, Be3 (older then 9.6 Ma), as representing a long period of slow accumulation of mainly turbiditic sediments. Unit Be2 (from about 9.6 to 5.3 Ma) may represent a period of short-lived ice advances on the continental shelf The uppermost unit, Be1 (from about 5.3 Ma to present), apparently consists of rapidly deposited terrigenous sediment that we interpret as having been transported to the shelf edge by frequent advances of grounded ice. Listric faults are observed in Be1 and indicate sediment instability due to interactions between different depositional processes. Correlation of the sediment classification scheme with the continental rise of the western Antarctic Peninsula shows obvious differences in sediment depositional patterns. We estimate a very high sedimentation rate for Unit Be1 (up to 295 m/my) which points to an increase in glacial sediment supply due to major glacial outlets that flowed to nearby parts of the shelf edge in Pliocene and Quaternary times. This is in contrast to the situation at the adjacent Antarctic Peninsular margin and many other parts of the continental rise around Antarctica. (c) 2006 Elsevier B.V. All rights reserved.</t>
  </si>
  <si>
    <t>Alfred Wegener Inst Polar &amp; Marine Res, Postfach 120161, D-27515 Bremerhaven, Germany; British Antarctic Survey, Cambridge CBT OET, England; Ist Nazl Oceanog &amp; Geofis Sperimentale, Sconico, TS, Italy; Russian Acad Sci, Vernadsky Inst Geochem &amp; Analyt Chem, Moscow 117975, Russia</t>
  </si>
  <si>
    <t>Helmholtz Association; Alfred Wegener Institute, Helmholtz Centre for Polar &amp; Marine Research; UK Research &amp; Innovation (UKRI); Natural Environment Research Council (NERC); NERC British Antarctic Survey; Russian Academy of Sciences; Vernadsky Institute of Geochemistry &amp; Analytical Chemistry</t>
  </si>
  <si>
    <t>Alfred Wegener Inst Polar &amp; Marine Res, Postfach 120161, D-27515 Bremerhaven, Germany.</t>
  </si>
  <si>
    <t>cscheuer@awi-bremerhaven.de; rdla@bas.ac.uk; rebesco@ogs.trieste.it</t>
  </si>
  <si>
    <t>Rebesco, Michele/0000-0002-9492-4081; Gohl, Karsten/0000-0002-9558-2116; Larter, Robert/0000-0002-8414-7389</t>
  </si>
  <si>
    <t>10.1016/j.margeo.2005.12.007</t>
  </si>
  <si>
    <t>026MD</t>
  </si>
  <si>
    <t>WOS:000236342100008</t>
  </si>
  <si>
    <t>Boger, SD; Wilson, CJL; Fanning, CM</t>
  </si>
  <si>
    <t>An Archaean province in the southern Prince Charles Mountains, East Antarctica: U-Pb zircon evidence for c. 3170 Ma granite plutonism and c. 2780 Ma partial melting and orogenesis</t>
  </si>
  <si>
    <t>PRECAMBRIAN RESEARCH</t>
  </si>
  <si>
    <t>East Antarctic Craton; Mawson Continent; Prince Charles Mountains; Archaean; SHRIMP; Gondwana</t>
  </si>
  <si>
    <t>ALBANY-FRASER OROGEN; GRADE METAMORPHIC ROCKS; EYRE PENINSULA; GAWLER CRATON; BUNGER HILLS; MOBILE BELT; HISTORY; GONDWANA; AREA; AUSTRALIA</t>
  </si>
  <si>
    <t>U-Pb ion microprobe analysis of zircon indicates that the oldest rocks from the Southern Prince Charles Mountains, cast Antarctica, consist of granitoid rocks of the Mawson Suite that were emplaced between 3185 and 3 155 Ma. These granitoids are tectonically intercalated with the Menzies Series, a thick sequence of Cr-quartzite, marble, metaconglomerate and kyanite-bearing metapelite. Together these rocks were deformed during a single Late Archaean tectonothermal event that occurred between 2790 and 2770 Ma based on the ages of two syn-tectonic leucosomes. This event deformed the terrane Via South to southwest-directed shortening and metamorphosed the rocks to upper-amphibolite facies. A sample of post-tectonic pegmatite with an age of 2645 Ma further confirms the Archaean age of deformation and metamorphism recorded by these rocks. These new age constraints demonstrate that: ( I) the sialic basement (Mawson Suite+ Menzies Series) of the southern Prince Charles Mountains formed entirely in the Archaean and, (2) these rocks do not share a common geologic history with the other known exposures of pre-Gondwana basement from the East Antarctic Craton, nor with the rocks of the previously continuous Gawler Craton of southern Australia. This latter point implies that the East Antarctic Craton probably did not exist as a single entity in the Archaean and Early Proterozoic, but rather formed in the Middle to Late Proterozoic via the amalgamation of a number of discrete lithospheric blocks. (c) 2006 Elsevier B.V. All rights reserved.</t>
  </si>
  <si>
    <t>Univ Melbourne, Sch Earth Sci, Melbourne, Vic 3010, Australia; Australian Natl Univ, Res Sch Earth Sci, Canberra, ACT 0200, Australia</t>
  </si>
  <si>
    <t>University of Melbourne; Melbourne Bioinformatics; Australian National University</t>
  </si>
  <si>
    <t>Univ Melbourne, Sch Earth Sci, Melbourne, Vic 3010, Australia.</t>
  </si>
  <si>
    <t>sdboger@unimelb.edu.au; stevenboger@hotmail.com; cjlw@unimelb.edu.au</t>
  </si>
  <si>
    <t>Fanning, C. Mark/I-6449-2016; Boger, Steven/B-8799-2013</t>
  </si>
  <si>
    <t>Boger, Steven/0000-0003-0739-6266</t>
  </si>
  <si>
    <t>0301-9268</t>
  </si>
  <si>
    <t>1872-7433</t>
  </si>
  <si>
    <t>PRECAMBRIAN RES</t>
  </si>
  <si>
    <t>Precambrian Res.</t>
  </si>
  <si>
    <t>10.1016/j.precamres.2005.12.003</t>
  </si>
  <si>
    <t>026KC</t>
  </si>
  <si>
    <t>WOS:000236336800003</t>
  </si>
  <si>
    <t>Arthern, RJ; Winebrenner, DP; Vaughan, DG</t>
  </si>
  <si>
    <t>Antarctic snow accumulation mapped using polarization of 4.3-cm wavelength microwave emission</t>
  </si>
  <si>
    <t>SURFACE MASS-BALANCE; SPATIAL-DISTRIBUTION; VARIABILITY; MODEL; FIRN</t>
  </si>
  <si>
    <t>Different parts of Antarctica receive different amounts of snowfall each year. In this paper we map the variations of the mean annual snow accumulation across the ice sheet. We also quantify the uncertainty in our estimates more objectively than has been possible for earlier maps. The new map is produced using observations from satellites and ground-based measurements. After a logarithmic transformation, these are combined using the geostatistical method of continuous-part universal kriging to give an estimate of the snow accumulation within each cell of a rectangular grid covering Antarctica. We also derive spatial averages over the major drainage systems of the ice sheet, along with their confidence intervals. We obtain a value of 143 +/- 4 kg m(-2) a(-1) for the average rate of snow accumulation upon the grounded ice sheet of Antarctica.</t>
  </si>
  <si>
    <t>British Antarctic Survey, NERC, Div Phys Sci, Cambridge CB3 0ET, England; Univ Washington, Appl Phys Lab, Seattle, WA 98105 USA</t>
  </si>
  <si>
    <t>UK Research &amp; Innovation (UKRI); Natural Environment Research Council (NERC); NERC British Antarctic Survey; University of Washington; University of Washington Seattle</t>
  </si>
  <si>
    <t>British Antarctic Survey, NERC, Div Phys Sci, High Cross,Madingley Rd, Cambridge CB3 0ET, England.</t>
  </si>
  <si>
    <t>Vaughan, David/C-8348-2011</t>
  </si>
  <si>
    <t>Vaughan, David/0000-0002-9065-0570</t>
  </si>
  <si>
    <t>MAR 29</t>
  </si>
  <si>
    <t>D6</t>
  </si>
  <si>
    <t>D06107</t>
  </si>
  <si>
    <t>10.1029/2004JD005667</t>
  </si>
  <si>
    <t>031US</t>
  </si>
  <si>
    <t>WOS:000236730400002</t>
  </si>
  <si>
    <t>Schlitt, T; Brazma, A</t>
  </si>
  <si>
    <t>Modelling in molecular biology: describing transcription regulatory networks at different scales</t>
  </si>
  <si>
    <t>gene network; transcription regulation network; Boolean network; model</t>
  </si>
  <si>
    <t>YEAST-CELL CYCLE; GENE NETWORKS; SACCHAROMYCES-CEREVISIAE; EXPRESSION; DYNAMICS</t>
  </si>
  <si>
    <t>Approaches to describe gene regulation networks can be categorized by increasing detail, as network parts lists, network topology models, network control logic models or dynamic models. We discuss the current state of the art for each of these approaches. We study the relationship between different topology models, and give examples how they can be used to infer functional annotations for genes of unknown function. We introduce a new simple way of describing dynamic models called finite state linear model (FSLM). We discuss the gap between the parts list and topology models on one hand, and network logic and dynamic models, on the other hand. The first two classes of models have reached a genome-wide scale, while for the other model classes high-throughput technologies are yet to make a major impact.</t>
  </si>
  <si>
    <t>European Bioinformat Inst, EMBL, Cambridge CB10 1SD, England; British Antarctic Survey, NERC, Cambridge CB3 0ET, England</t>
  </si>
  <si>
    <t>European Molecular Biology Laboratory (EMBL); UK Research &amp; Innovation (UKRI); Natural Environment Research Council (NERC); NERC British Antarctic Survey</t>
  </si>
  <si>
    <t>European Bioinformat Inst, EMBL, Wellcome Trust Genome Campus, Cambridge CB10 1SD, England.</t>
  </si>
  <si>
    <t>brazma@ebi.ac.uk</t>
  </si>
  <si>
    <t>Schlitt, Thomas/F-2123-2010; Schlitt, Thomas/GWQ-8928-2022</t>
  </si>
  <si>
    <t>Brazma, Alvis/0000-0001-5988-7409; Schlitt, Thomas/0000-0002-0508-3971</t>
  </si>
  <si>
    <t>10.1098/rstb.2005.1806</t>
  </si>
  <si>
    <t>019AD</t>
  </si>
  <si>
    <t>WOS:000235806600011</t>
  </si>
  <si>
    <t>Zheng, WZ; Zou, CZ</t>
  </si>
  <si>
    <t>An improved algorithm for atmospheric wind retrievals from satellite soundings over the polar regions</t>
  </si>
  <si>
    <t>[1] In this study, an improved algorithm to retrieve atmospheric winds from satellite temperature soundings over the polar region is developed. The algorithm utilizes a thermal wind relationship plus a planetary boundary layer parameterization to represent the basic atmospheric dynamics over the polar regions. With given temperature profiles, a first-guess wind profile is derived from the basic dynamics. Lagrange multipliers in a variational formalism are then used to force the first-guess wind to conserve mass. To estimate the algorithm accuracy, wind retrievals based on temperature profiles from the Global Data Assimilation System (GDAS) are compared with the wind observations from 13 radiosonde stations around the Antarctic coast. The results demonstrate that the wind retrievals exhibit mean absolute errors about 1 m sec(-1) for the 13 stations in the troposphere and the root-mean-square errors are greater than the GDAS assimilated winds by about 0.5 m sec(-1).</t>
  </si>
  <si>
    <t>QSS Grp Inc, Lanham, MD 20706 USA; NOAA, NESDIS, Ctr Satellite Applicat &amp; Res, Ctr Sci, Camp Springs, MD 20746 USA</t>
  </si>
  <si>
    <t>Zheng, WZ (corresponding author), QSS Grp Inc, 4501 Forbes Blvd Suite 200, Lanham, MD 20706 USA.</t>
  </si>
  <si>
    <t>weizhong.zheng@noaa.gov; cheng-zhi.zou@noaa.gov</t>
  </si>
  <si>
    <t>Zheng, Weizhong/JXL-9978-2024; Zou, Cheng-Zhi/E-3085-2010</t>
  </si>
  <si>
    <t>Zou, Cheng-Zhi/0000-0003-4124-6448</t>
  </si>
  <si>
    <t>MAR 28</t>
  </si>
  <si>
    <t>L06820</t>
  </si>
  <si>
    <t>10.1029/2005GL025197</t>
  </si>
  <si>
    <t>031UH</t>
  </si>
  <si>
    <t>WOS:000236729200004</t>
  </si>
  <si>
    <t>Sreenivasan, G; Majumdar, TJ</t>
  </si>
  <si>
    <t>Mapping of Antarctic sea ice in the depletion phase: an indicator of climatic change?</t>
  </si>
  <si>
    <t>Antarctica; areal extent; climatic change; depletion phase; sea ice concentration</t>
  </si>
  <si>
    <t>SOUTHERN-OCEAN; WEDDELL-SEA; MICROWAVE; SNOW; PARAMETERS</t>
  </si>
  <si>
    <t>The mapping and monitoring of the sea ice variability in the polar regions is of prime importance for global climate modelling. Apart from sea ice, spatial snow cover variability and depth estimates are needed for accurate assessment of many climate parameters required in the ice-ocean models. Mapping and analysing the spatial and temporal variability of Antarctic sea ice and snow cover are therefore highly important for polar ice-pack studies in the global climate cycle. The present study has been carried out mainly for sea ice mapping surrounding Antarctica using Special Sensor Microwave Imager (SSM/I) passive microwave data during its depletion phase (November 2001 to January 2002). Sea ice concentrations and snow depths over the Antarctic sea ice have been calculated and their temporal variation patterns studied. The overall extents under all ice concentration categories during different months over the study period have decreased in the order of 1 to 3 million km(2) in comparison to the sea ice concentration categories during 1978-87 period. The thermal conductivity of snow is about an order of magnitude less than the sea ice. Hence the presence of small amount of snow on sea ice can greatly affect the heat flux between the sea surface and atmosphere. Depletion in snow depths over sea ice (from 1988-94 to 2001-02) could be observed particularly in December, though not much change has been observed in November and January. These changes (shrinking ice covers/depletion in sea ice concentration) can be attributed to some locally changing weather patterns in the Antarctic continent as well as due to regional phenomenon like global warming.</t>
  </si>
  <si>
    <t>Indian Space Res Org, Ctr Space Applicat, Ahmadabad 380015, Gujarat, India; Reg Remote Sensing Serv Ctr, Nagpur 440010, Maharashtra, India</t>
  </si>
  <si>
    <t>Department of Space (DoS), Government of India; Indian Space Research Organisation (ISRO); Space Applications Centre (SAC); Department of Space (DoS), Government of India; Indian Space Research Organisation (ISRO); National Remote Sensing Centre (NRSC)</t>
  </si>
  <si>
    <t>Indian Space Res Org, Ctr Space Applicat, Ahmadabad 380015, Gujarat, India.</t>
  </si>
  <si>
    <t>tjmajumdar@sac.isro.gov.in</t>
  </si>
  <si>
    <t>MAR 25</t>
  </si>
  <si>
    <t>029JS</t>
  </si>
  <si>
    <t>WOS:000236559200030</t>
  </si>
  <si>
    <t>Sugita, T; Nakajima, H; Yokota, T; Kanzawa, H; Gernandt, H; Herber, A; von der Gathen, P; König-Langlo, G; Sato, K; Dorokhov, V; Yushkov, VA; Murayama, Y; Yamamori, M; Godin-Beekmann, S; Goutail, F; Roscoe, HK; Deshler, T; Yela, M; Taalas, P; Kyrö, E; Oltmans, SJ; Johnson, BJ; Allaart, M; Litynska, Z; Klekociuk, A; Andersen, SB; Braathen, GO; De Backer, H; Randall, CE; Bevilacqua, RM; Taha, G; Thomason, LW; Irie, H; Ejiri, MK; Saitoh, N; Tanaka, T; Terao, Y; Kobayashi, H; Sasano, Y</t>
  </si>
  <si>
    <t>Ozone profiles in the high-latitude stratosphere and lower mesosphere measured by the Improved Limb Atmospheric Spectrometer (ILAS)-II:: Comparison with other satellite sensors and ozonesondes -: art. no. D11S02</t>
  </si>
  <si>
    <t>ARCTIC WINTER; ILAS; VALIDATION; ASSIMILATION; PERFORMANCE; INSTRUMENT; SYSTEM; TRENDS; HOLE</t>
  </si>
  <si>
    <t>[1] A solar occultation sensor, the Improved Limb Atmospheric Spectrometer (ILAS)-II, measured 5890 vertical profiles of ozone concentrations in the stratosphere and lower mesosphere and of other species from January to October 2003. The measurement latitude coverage was 54 - 71 degrees N and 64 - 88 degrees S, which is similar to the coverage of ILAS ( November 1996 to June 1997). One purpose of the ILAS-II measurements was to continue such high-latitude measurements of ozone and its related chemical species in order to help accurately determine their trends. The present paper assesses the quality of ozone data in the version 1.4 retrieval algorithm, through comparisons with results obtained from comprehensive ozonesonde measurements and four satellite-borne solar occultation sensors. In the Northern Hemisphere (NH), the ILAS-II ozone data agree with the other data within +/- 10% ( in terms of the absolute difference divided by its mean value) at altitudes between 11 and 40 km, with the median coincident ILAS-II profiles being systematically up to 10% higher below 20 km and up to 10% lower between 21 and 40 km after screening possible suspicious retrievals. Above 41 km, the negative bias between the NH ILAS-II ozone data and the other data increases with increasing altitude and reaches 30% at 61 - 65 km. In the Southern Hemisphere, the ILAS-II ozone data agree with the other data within +/- 10% in the altitude range of 11 - 60 km, with the median coincident profiles being on average up to 10% higher below 20 km and up to 10% lower above 20 km. Considering the accuracy of the other data used for this comparative study, the version 1.4 ozone data are suitably used for quantitative analyses in the high-latitude stratosphere in both the Northern and Southern Hemisphere and in the lower mesosphere in the Southern Hemisphere.</t>
  </si>
  <si>
    <t>Natl Inst Environm Studies, Tsukuba, Ibaraki 3050053, Japan; Royal Netherlands Meteorol Inst, NL-3730 AE De Bilt, Netherlands; Danish Metrol Inst, DK-2100 Copenhagen, Denmark; USN, Res Lab, Remote Sensing Phys Branch, Washington, DC 20375 USA; Norwegian Inst Air Res, N-2027 Kjeller, Norway; Royal Meteorol Soc, B-1000 Brussels, Belgium; Univ Wyoming, Dept Atmospher Sci, Laramie, WY 82071 USA; Cent Aerol Observ, Dolgoprudnyi 141700, Russia; Utah State Univ, Ctr Atmospher &amp; Space Sci, Logan, UT 84322 USA; Alfred Wegener Inst Polar &amp; Marine Res, D-27515 Bremerhaven, Germany; CNRS, F-75252 Paris, France; Japan Agcy Marine Earth Sci &amp; Technol, Frontier Res Ctr Global Change, Yokohama, Kanagawa 2360001, Japan; NOAA, Climate Monitoring &amp; Diagnost Lab, Boulder, CO 80305 USA; Nagoya Univ, Grad Sch Environm Studies, Nagoya, Aichi 4648601, Japan; Australian Antarctic Div, Kingston, Tas 7050, Australia; Cent Res Inst Elect Power Ind, Chiyoda Ku, Tokyo 1008126, Japan; Finnish Meteorol Inst, FI-99600 Sodankyla, Finland; Inst Meteorol &amp; Water Management, PL-05119 Legionowo, Poland; Natl Inst Informat &amp; Commun Technol, Tokyo 1848795, Japan; Natl Inst Environm Studies, Tsukuba, Ibaraki 3050053, Japan; Univ Colorado, Atmospher &amp; Space Phys Lab, Boulder, CO 80303 USA; British Antarctic Survey, NERC, Cambridge CB3 0ET, England; Univ Tokyo, Ctr Climate Syst Res, Kashiwa, Chiba 2778568, Japan; Natl Inst Polar Res, Tokyo 1738515, Japan; Finnish Meteorol Inst, FI-00101 Helsinki, Finland; Sci Syst &amp; Applicat Inc, Lanham, MD 20706 USA; Harvard Univ, Div Engn &amp; Appl Sci, Cambridge, MA 02138 USA; NASA, Langley Res Ctr, Hampton, VA 23681 USA; Alfred Wegener Inst Polar &amp; Marine Res, D-14473 Potsdam, Germany; Inst Nacl Tecn Aerospacial, E-28850 Madrid, Spain</t>
  </si>
  <si>
    <t>National Institute for Environmental Studies - Japan; Royal Netherlands Meteorological Institute; Danish Meteorological Institute DMI; United States Department of Defense; United States Navy; Naval Research Laboratory; NILU; Royal Meteorological Institute of Belgium; University of Wyoming; Utah System of Higher Education; Utah State University; Helmholtz Association; Alfred Wegener Institute, Helmholtz Centre for Polar &amp; Marine Research; Centre National de la Recherche Scientifique (CNRS); Japan Agency for Marine-Earth Science &amp; Technology (JAMSTEC); National Oceanic Atmospheric Admin (NOAA) - USA; Nagoya University; Australian Antarctic Division; Central Research Institute of Electric Power Industry - Japan; Finnish Meteorological Institute; Institute of Meteorology &amp; Water Management; National Institute of Information &amp; Communications Technology (NICT) - Japan; National Institute for Environmental Studies - Japan; University of Colorado System; University of Colorado Boulder; UK Research &amp; Innovation (UKRI); Natural Environment Research Council (NERC); NERC British Antarctic Survey; University of Tokyo; Research Organization of Information &amp; Systems (ROIS); National Institute of Polar Research (NIPR) - Japan; Finnish Meteorological Institute; Science Systems and Applications Inc; Harvard University; National Aeronautics &amp; Space Administration (NASA); NASA Langley Research Center; Helmholtz Association; Alfred Wegener Institute, Helmholtz Centre for Polar &amp; Marine Research</t>
  </si>
  <si>
    <t>Natl Inst Environm Studies, Tsukuba, Ibaraki 3050053, Japan.</t>
  </si>
  <si>
    <t>tsugita@nies.go.jp</t>
  </si>
  <si>
    <t>Murayama, Yasuhiro/ABF-1698-2020; Satoh, Kaoru/P-2047-2015; Sasano, Yasuhiro/AAL-8184-2020; Irie, Hitoshi/AAW-6024-2021; Oltmans, Samuel/AAC-8987-2022; von der Gathen, Peter/B-8515-2009; Sugita, Takafumi/H-6669-2018; Nakajima, Hideaki/M-8845-2019; Konig-Langlo, Gert/K-5048-2012; Andersen, Signe/C-4809-2013; Sato, Kaoru/E-1693-2012; Yela Gonzalez, Margarita/J-7346-2016; Klekociuk, Andrew/A-4498-2015; RANDALL, CORA/L-8760-2014; Terao, Yukio/A-2099-2008</t>
  </si>
  <si>
    <t>Murayama, Yasuhiro/0000-0003-1129-334X; Sasano, Yasuhiro/0000-0001-7470-5642; von der Gathen, Peter/0000-0001-7409-1556; Nakajima, Hideaki/0000-0002-2742-1230; Konig-Langlo, Gert/0000-0002-6100-4107; Thomason, Larry/0000-0002-1902-0840; Sugita, Takafumi/0000-0002-0508-7040; Andersen, Signe/0000-0002-8216-0141; Sato, Kaoru/0000-0002-6225-6066; Taha, Ghassan/0000-0001-8362-6516; Yela Gonzalez, Margarita/0000-0003-3775-3156; Klekociuk, Andrew/0000-0003-3335-0034; RANDALL, CORA/0000-0002-4313-4397; Irie, Hitoshi/0000-0001-5782-3292; Terao, Yukio/0000-0003-2345-7073</t>
  </si>
  <si>
    <t>NERC [bas010008, bas010020] Funding Source: UKRI; Natural Environment Research Council [bas010008, bas010020] Funding Source: researchfish</t>
  </si>
  <si>
    <t>MAR 24</t>
  </si>
  <si>
    <t>D11S02</t>
  </si>
  <si>
    <t>10.1029/2005JD006439</t>
  </si>
  <si>
    <t>026NQ</t>
  </si>
  <si>
    <t>Green Published, Bronze, Green Accepted</t>
  </si>
  <si>
    <t>WOS:000236346200001</t>
  </si>
  <si>
    <t>Overpeck, JT; Otto-Bliesner, BL; Miller, GH; Muhs, DR; Alley, RB; Kiehl, JT</t>
  </si>
  <si>
    <t>Paleoclimatic evidence for future ice-sheet instability and rapid sea-level rise</t>
  </si>
  <si>
    <t>LAST INTERGLACIAL PERIOD; ANTARCTIC PENINSULA; CLIMATE; 21ST-CENTURY; DURATION; RETREAT; CORALS; RECORD; WARMTH; AGES</t>
  </si>
  <si>
    <t>Sea-level rise from melting of polar ice sheets is one of the largest potential threats of future climate change. Polar warming by the year 2100 may reach levels similar to those of 130,000 to 127,000 years ago that were associated with sea levels several meters above modern levels; both the Greenland Ice Sheet and portions of the Antarctic Ice Sheet may be vulnerable. The record of past ice-sheet melting indicates that the rate of future melting and related sea-level rise could be faster than widely thought.</t>
  </si>
  <si>
    <t>Univ Arizona, Dept Geosci, Inst Study Planet Earth, Tucson, AZ 85721 USA; Univ Arizona, Dept Atmospher Sci, Tucson, AZ 85721 USA; Natl Ctr Atmospher Res, Boulder, CO 80307 USA; Univ Colorado, Inst Arctic &amp; Alpine Res, Boulder, CO 80309 USA; Univ Colorado, Dept Geol Sci, Boulder, CO 80309 USA; US Geol Survey, Lakewood, CO 80225 USA; Penn State Univ, Dept Geosci, University Pk, PA 16802 USA; Penn State Univ, Penn State Ice &amp; Climate Explorat Ctr, University Pk, PA 16802 USA</t>
  </si>
  <si>
    <t>University of Arizona; University of Arizona; National Center Atmospheric Research (NCAR) - USA; University of Colorado System; University of Colorado Boulder; University of Colorado System; University of Colorado Boulder; United States Department of the Interior; United States Geological Survey; Pennsylvania Commonwealth System of Higher Education (PCSHE); Pennsylvania State University; Pennsylvania State University - University Park; Pennsylvania Commonwealth System of Higher Education (PCSHE); Pennsylvania State University; Pennsylvania State University - University Park</t>
  </si>
  <si>
    <t>Univ Arizona, Dept Geosci, Inst Study Planet Earth, Tucson, AZ 85721 USA.</t>
  </si>
  <si>
    <t>ito@u.arizona.edu</t>
  </si>
  <si>
    <t>Directorate For Geosciences [0814241] Funding Source: National Science Foundation; Office of Polar Programs (OPP) [0814241] Funding Source: National Science Foundation</t>
  </si>
  <si>
    <t>Directorate For Geosciences(National Science Foundation (NSF)NSF - Directorate for Geosciences (GEO)); Office of Polar Programs (OPP)(National Science Foundation (NSF)NSF - Directorate for Geosciences (GEO))</t>
  </si>
  <si>
    <t>10.1126/science.1115159</t>
  </si>
  <si>
    <t>024OA</t>
  </si>
  <si>
    <t>WOS:000236204300036</t>
  </si>
  <si>
    <t>Velicogna, I; Wahr, J</t>
  </si>
  <si>
    <t>Measurements of time-variable gravity show mass loss in Antarctica</t>
  </si>
  <si>
    <t>CLIMATE EXPERIMENT; GRACE; RECOVERY</t>
  </si>
  <si>
    <t>Using measurements of time-variable gravity from the Gravity Recovery and Climate Experiment satellites, we determined mass variations of the Antarctic ice sheet during 2002-2005. We found that the mass of the ice sheet decreased significantly, at a rate of 152 +/- 80 cubic kilometers of ice per year, which is equivalent to 0.4 +/- 0.2 millimeters of global sea-level rise per year. Most of this mass loss came from the West Antarctic Ice Sheet.</t>
  </si>
  <si>
    <t>Univ Colorado, Cooperat Inst Res Environm Sci, Boulder, CO 80309 USA; Univ Colorado, Dept Phys, Boulder, CO 80309 USA; CALTECH, Jet Prop Lab, Pasadena, CA 91109 USA</t>
  </si>
  <si>
    <t>University of Colorado System; University of Colorado Boulder; University of Colorado System; University of Colorado Boulder; National Aeronautics &amp; Space Administration (NASA); NASA Jet Propulsion Laboratory (JPL); California Institute of Technology</t>
  </si>
  <si>
    <t>Univ Colorado, Cooperat Inst Res Environm Sci, Campus Box 390, Boulder, CO 80309 USA.</t>
  </si>
  <si>
    <t>isabella@colorado.edu; wahr@colorado.edu</t>
  </si>
  <si>
    <t>Velicogna, Isabella/R-5561-2018</t>
  </si>
  <si>
    <t>Directorate For Geosciences [0840619] Funding Source: National Science Foundation; Office of Polar Programs (OPP) [0840619] Funding Source: National Science Foundation</t>
  </si>
  <si>
    <t>10.1126/science.1123785</t>
  </si>
  <si>
    <t>WOS:000236204300038</t>
  </si>
  <si>
    <t>Wolff, EW; Fischer, H; Fundel, F; Ruth, U; Twarloh, B; Littot, GC; Mulvaney, R; Röthlisberger, R; de Angelis, M; Boutron, CF; Hansson, M; Jonsell, U; Hutterli, MA; Lambert, F; Kaufmann, P; Stauffer, B; Stocker, TF; Steffensen, JP; Bigler, M; Siggaard-Andersen, ML; Udisti, R; Becagli, S; Castellano, E; Severi, M; Wagenbach, D; Barbante, C; Gabrielli, P; Gaspari, V</t>
  </si>
  <si>
    <t>Southern Ocean sea-ice extent, productivity and iron flux over the past eight glacial cycles</t>
  </si>
  <si>
    <t>DOME-C; EAST ANTARCTICA; SALT AEROSOL; DUST; EPICA; CORE; CLIMATE; MAXIMUM; VOSTOK; CO2</t>
  </si>
  <si>
    <t>Sea ice and dust flux increased greatly in the Southern Ocean during the last glacial period. Palaeorecords provide contradictory evidence about marine productivity in this region, but beyond one glacial cycle, data were sparse. Here we present continuous chemical proxy data spanning the last eight glacial cycles (740,000 years) from the Dome C Antarctic ice core. These data constrain winter sea-ice extent in the Indian Ocean, Southern Ocean biogenic productivity and Patagonian climatic conditions. We found that maximum sea-ice extent is closely tied to Antarctic temperature on multi-millennial timescales, but less so on shorter timescales. Biological dimethylsulphide emissions south of the polar front seem to have changed little with climate, suggesting that sulphur compounds were not active in climate regulation. We observe large glacial-interglacial contrasts in iron deposition, which we infer reflects strongly changing Patagonian conditions. During glacial terminations, changes in Patagonia apparently preceded sea-ice reduction, indicating that multiple mechanisms may be responsible for different phases of CO2 increase during glacial terminations. We observe no changes in internal climatic feedbacks that could have caused the change in amplitude of Antarctic temperature variations observed 440,000 years ago.</t>
  </si>
  <si>
    <t>British Antarctic Survey, Cambridge CB3 0ET, England; Alfred Wegener Inst Polar &amp; Marine Res, D-27568 Bremerhaven, Germany; Lab Glaciol &amp; Geophys Environm, F-38402 St Martin Dheres, France; Stockholm Univ, Dept Phys Geog &amp; Quaternary Geol, S-10691 Stockholm, Sweden; Univ Bern, Inst Phys, CH-3012 Bern, Switzerland; Univ Copenhagen, Dept Geophys, DK-2100 Copenhagen O, Denmark; Univ Florence, Dept Chem, Analyt Chem Sect, I-50019 Florence, Italy; Heidelberg Univ, Inst Umweltphys, D-69120 Heidelberg, Germany; Univ Venice, Dept Environm Sci, I-30123 Venice, Italy; Univ Venice, CNR, Inst Dynam Environm Proc, I-30123 Venice, Italy</t>
  </si>
  <si>
    <t>UK Research &amp; Innovation (UKRI); Natural Environment Research Council (NERC); NERC British Antarctic Survey; Helmholtz Association; Alfred Wegener Institute, Helmholtz Centre for Polar &amp; Marine Research; Stockholm University; University of Bern; University of Copenhagen; University of Florence; Ruprecht Karls University Heidelberg; Universita Ca Foscari Venezia; Consiglio Nazionale delle Ricerche (CNR); Istituto per la Dinamica dei Processi Ambientali (IDPA-CNR); Universita Ca Foscari Venezia</t>
  </si>
  <si>
    <t>ewwo@bas.ac.uk</t>
  </si>
  <si>
    <t>Bigler, Matthias/HTT-3872-2023; Jonsell, Ulf/F-3116-2015; Steffensen, Jorgen Peder/JFS-7831-2023; Udisti, Roberto/M-7966-2015; Bishnoi, Mamta/AAQ-8346-2021; Becagli, Silvia/GNW-2665-2022; Severi, Mirko/J-2508-2012; Fischer, Hubertus/A-1211-2014; Wolff, Eric/D-7925-2014; Lambert, Fabrice/M-2003-2014; Mulvaney, Robert/K-3929-2012</t>
  </si>
  <si>
    <t>Bigler, Matthias/0000-0003-0184-4013; Jonsell, Ulf/0000-0001-6532-8590; Steffensen, Jorgen Peder/0000-0002-5516-1093; Udisti, Roberto/0000-0003-4440-8238; Bishnoi, Mamta/0000-0003-4987-0536; Severi, Mirko/0000-0003-1511-6762; Fischer, Hubertus/0000-0002-2787-4221; Wolff, Eric/0000-0002-5914-8531; Becagli, Silvia/0000-0003-3633-4849; Lambert, Fabrice/0000-0002-2192-024X; Barbante, Carlo/0000-0003-4177-2288; Mulvaney, Robert/0000-0002-5372-8148</t>
  </si>
  <si>
    <t>MAR 23</t>
  </si>
  <si>
    <t>10.1038/nature04614</t>
  </si>
  <si>
    <t>024DV</t>
  </si>
  <si>
    <t>WOS:000236176100047</t>
  </si>
  <si>
    <t>Sinclair, BJ; Chown, SL</t>
  </si>
  <si>
    <t>Sinclair, Brent J.; Chown, Steven L.</t>
  </si>
  <si>
    <t>Caterpillars benefit from thermal ecosystem engineering by wandering albatrosses on sub-Antarctic Marion Island</t>
  </si>
  <si>
    <t>wandering albatross; ecosystem engineering; development thresholds</t>
  </si>
  <si>
    <t>TERRESTRIAL HABITATS; VEGETATION</t>
  </si>
  <si>
    <t>Wandering albatrosses (Diomedea exulans) nest on Southern Ocean islands, building elevated nests upon which they incubate eggs and raise chicks, and which the chicks occupy through winter. The nests support high invertebrate biomass, including larvae of the flightless moth Pringleophaga marioni. Here we argue that high biomass of P marioni in the nests is not associated with nutrient loading as previously suspected, but that higher temperatures in the nests increase growth and feeding rate, and decrease deleterious repeated cold exposure, providing fitness advantages for P marioni. Thus, wandering albatrosses may be serving as thermal engineers, modifying temperature and therefore enabling better resource use by P marioni.</t>
  </si>
  <si>
    <t>Univ Stellenbosch, Spatial Physiol &amp; Conservat Ecol Grp, ZA-7600 Stellenbosch, South Africa; Univ Stellenbosch, Ctr Invas Biol, Dept Bot &amp; Zool, ZA-7600 Stellenbosch, South Africa</t>
  </si>
  <si>
    <t>Stellenbosch University; Stellenbosch University</t>
  </si>
  <si>
    <t>Sinclair, BJ (corresponding author), Univ Nevada, Dept Biol Sci, Las Vegas, NV 89154 USA.</t>
  </si>
  <si>
    <t>celatoblatta@yahoo.co.uk</t>
  </si>
  <si>
    <t>Chown, Steven L/H-3347-2011; Sinclair, Brent J/C-6133-2012; Chown, Steven/ABD-7646-2021</t>
  </si>
  <si>
    <t>Sinclair, Brent/0000-0002-8191-9910</t>
  </si>
  <si>
    <t>MAR 22</t>
  </si>
  <si>
    <t>10.1098/rsbl.2005.0384</t>
  </si>
  <si>
    <t>104KV</t>
  </si>
  <si>
    <t>WOS:000241958200015</t>
  </si>
  <si>
    <t>Kowalewsky, S; Dambach, M; Mauck, B; Dehnhardt, G</t>
  </si>
  <si>
    <t>Kowalewsky, Sylvia; Dambach, Martin; Mauck, Bjoern; Dehnhardt, Guido</t>
  </si>
  <si>
    <t>High olfactory sensitivity for dimethyl sulphide in harbour seals</t>
  </si>
  <si>
    <t>olfaction; seal; dimethyl sulphide; orientation</t>
  </si>
  <si>
    <t>ANTARCTIC PROCELLARIIFORM SEABIRDS; PHYTOPLANKTON; ATLANTIC; ZOOPLANKTON; ATMOSPHERE; MOVEMENTS; WATER</t>
  </si>
  <si>
    <t>Productive areas are patchily distributed at sea and represent important feeding grounds for many marine organisms. Although pinnipeds are known to travel on direct routes and return regularly to particular feeding sites, the environmental information seals use to perform this navigation is as yet unknown. As atmospheric dimethyl sulphide (DMS) has been demonstrated to be a reliable indicator for profitable foraging areas, we tested seals for their ability to smell DMS at concentrations typical for the marine environment. Using a go/no-go response paradigm we determined the DMS detection threshold in two harbour seals (Phoca vitulina vitulina). DMS stimuli from 8.05 X 10(8) to 8 pmol (DMS) m(-3) (air) were tested against a control stimulus using a custom-made olfactometer. DMS-thresholds determined for both seals (20 and 13 pmol m(-3)) indicate that seals can detect ambient concentrations associated with high primary productivity, e.g. in the North Atlantic. Thus, seals possess an extraordinarily high olfactory sensitivity for DMS, which could provide a sensory basis for identifying or orienting to profitable foraging grounds.</t>
  </si>
  <si>
    <t>Ruhr Univ Bochum, Dept Gen Zool &amp; Neurobiol, D-44780 Bochum, Germany; Univ Cologne, Dept Anim Physiol, D-50931 Cologne, Germany</t>
  </si>
  <si>
    <t>Ruhr University Bochum; University of Cologne</t>
  </si>
  <si>
    <t>Dehnhardt, G (corresponding author), Ruhr Univ Bochum, Dept Gen Zool &amp; Neurobiol, ND 6-33, D-44780 Bochum, Germany.</t>
  </si>
  <si>
    <t>dehnhardt@neurobiologie.rub.de</t>
  </si>
  <si>
    <t>BIOL LETT-UK</t>
  </si>
  <si>
    <t>10.1098/rsbl.2005.0380</t>
  </si>
  <si>
    <t>WOS:000241958200030</t>
  </si>
  <si>
    <t>Corsetti, FA; Olcott, AN; Bakermans, C</t>
  </si>
  <si>
    <t>The biotic response to neoproterozoic snowball earth</t>
  </si>
  <si>
    <t>neoproterozoic; glaciation; snowball earth; acritarchs; microfossils; biotic response</t>
  </si>
  <si>
    <t>VASE-SHAPED MICROFOSSILS; KINGSTON PEAK FORMATION; ARROYO DEL-SOLDADO; ANTARCTIC SEA-ICE; CAP CARBONATES; DEATH-VALLEY; GLACIAL DEPOSITS; ISOTOPE STRATIGRAPHY; BACTERIAL PRODUCTION; LOW PALEOLATITUDE</t>
  </si>
  <si>
    <t>The commonly held notion among earth scientists that Neoproterozoic low latitude glaciation (ca. 720-585 Ma), sometimes referred to as snowball Earth, caused major extinctions and imparted important evolutionary consequences upon the biosphere is not supported by the microfossil record. In particular, silicified microfossils from pre- and syn-glacial units in the Death Valley region, California, reveal little change during the glacial interval; in fact, the syn-glacial microbiota is slightly more diverse and contains more putative autotrophic and heterotrophic eukaryotes than underlying strata. fit Australia, pre- and post-glacial acritarch assemblages from shale reveal no change in diversity across the glacial interval. In modern glacial environments, productive and diverse modem microbial communities live within and upon sea and glacial ice and may provide an analogue for a more robust snowball Earth biosphere than previously considered. (c) 2005 Elsevier B.V. All rights reserved.</t>
  </si>
  <si>
    <t>Univ So Calif, Dept Earth Sci, Los Angeles, CA 90089 USA; Michigan State Univ, Ctr Genom &amp; Evolutionary Studies Microbial Life L, E Lansing, MI 48824 USA</t>
  </si>
  <si>
    <t>University of Southern California; Michigan State University</t>
  </si>
  <si>
    <t>Univ So Calif, Dept Earth Sci, Los Angeles, CA 90089 USA.</t>
  </si>
  <si>
    <t>fcorsett@usc.edu</t>
  </si>
  <si>
    <t>Olcott, Alison N./AAL-2020-2021</t>
  </si>
  <si>
    <t>Bakermans, Corien/0000-0002-3471-2570; Olcott, Alison/0000-0002-6854-646X</t>
  </si>
  <si>
    <t>2-4</t>
  </si>
  <si>
    <t>10.1016/j.palaeo.2005.10.030</t>
  </si>
  <si>
    <t>028WI</t>
  </si>
  <si>
    <t>WOS:000236519100003</t>
  </si>
  <si>
    <t>Virkkula, A; Koponen, IK; Teinilä, K; Hillamo, R; Kerminen, VM; Kulmala, M</t>
  </si>
  <si>
    <t>Effective real refractive index of dry aerosols in the Antarctic boundary layer</t>
  </si>
  <si>
    <t>SOUTH-POLE; SIZE DISTRIBUTIONS; NEPHELOMETER; CHEMISTRY; ATMOSPHERE; SUMMER; OCEAN</t>
  </si>
  <si>
    <t>The real refractive index (n(r)) of dry aerosols measured at an Antarctic site was calculated using two methods. Number size distributions were applied in a Mie model where n(r) was varied until the measured and modeled scattering coefficients matched. Ion concentrations analyzed from impactor samples were used for calculating size-dependent n(r). Generally the two methods were consistent with each other. The average iteration-derived n(r) varied mainly between similar to 1.4 and similar to 1.5 but also unreasonably low values, n(r)&lt;1.3, were obtained in air masses from the ocean. Possible explanations, such as inaccuracies in the method, water in the particles, non-analyzed biogenic particles, or non-spherical particles being responsible for the low values are discussed.</t>
  </si>
  <si>
    <t>Finnish Meteorol Inst, FIN-00560 Helsinki, Finland; Univ Helsinki, Dept Atmospher Sci, Aerosol &amp; Environm Phys Lab, FIN-00014 Helsinki, Finland</t>
  </si>
  <si>
    <t>Finnish Meteorological Institute; University of Helsinki</t>
  </si>
  <si>
    <t>Virkkula, A (corresponding author), Finnish Meteorol Inst, POB 503, FIN-00560 Helsinki, Finland.</t>
  </si>
  <si>
    <t>aki.virkkula@fmi.fi</t>
  </si>
  <si>
    <t>Virkkula, Aki/B-8575-2014; Kerminen, Veli-Matti/M-9026-2014; Kulmala, Markku/I-7671-2016</t>
  </si>
  <si>
    <t>Virkkula, Aki/0000-0003-4874-7552; Kulmala, Markku/0000-0003-3464-7825</t>
  </si>
  <si>
    <t>MAR 18</t>
  </si>
  <si>
    <t>L06805</t>
  </si>
  <si>
    <t>10.1029/2005GL024602</t>
  </si>
  <si>
    <t>026HY</t>
  </si>
  <si>
    <t>WOS:000236331200002</t>
  </si>
  <si>
    <t>Bergquist, BA; Boyle, EA</t>
  </si>
  <si>
    <t>Dissolved iron in the tropical and subtropical Atlantic Ocean</t>
  </si>
  <si>
    <t>EQUATORIAL PACIFIC-OCEAN; NATURAL ORGANIC-LIGANDS; CENTRAL NORTH PACIFIC; SOUTHERN-OCEAN; WORLD OCEAN; PHYTOPLANKTON BLOOM; KINETIC APPROACH; DUST DEPOSITION; CARBON-DIOXIDE; SURFACE-WATER</t>
  </si>
  <si>
    <t>[1] Detailed depth profiles and surface transects of dissolved iron (DFe defined by 0.4-mu m filtration) were investigated on three cruises in the subtropical and tropical Atlantic Ocean where dust deposition varied by 3 orders of magnitude. Surface DFe and dissolved Mn concentrations reflected dust deposition trends, but are not proportional to the estimated inputs. Using estimates of the atmospheric flux of DFe, surface DFe residence times were calculated to be on the order of 1 to 5 months. Deepwater DFe concentrations varied with water masses depending on their source, age, and transit pathways. At a site located on the edge of the equatorial system (10 degrees N, 45 degrees W), high DFe (&gt; 1 nmol/ kg) was associated with an oxygen minimum zone at depths of 130 to 1100 m. DFe concentrations in North Atlantic Deep Water (NADW) decreased by 30% from sites in the North Atlantic to a site in the South Atlantic (24.5 degrees S, 37 degrees W), and DFe was lower in the Antarctic derived water masses ( similar to 0.4 nmol/kg) than in NADW at the South Atlantic site. An estimate of deepwater scavenging residence time for DFe was 270 +/- 140 years based on decreasing DFe along the NADW flow path.</t>
  </si>
  <si>
    <t>MIT, Cambridge, MA 02139 USA</t>
  </si>
  <si>
    <t>Massachusetts Institute of Technology (MIT)</t>
  </si>
  <si>
    <t>Univ Michigan, Dept Geol Sci, 2534 CC Little Bldg,1100 N Univ Ave, Ann Arbor, MI 48109 USA.</t>
  </si>
  <si>
    <t>bbergqui@umich.edu</t>
  </si>
  <si>
    <t>GB1015</t>
  </si>
  <si>
    <t>10.1029/2005GB002505</t>
  </si>
  <si>
    <t>026IC</t>
  </si>
  <si>
    <t>WOS:000236331600001</t>
  </si>
  <si>
    <t>Smith, BE; Raymond, CF; Scambos, T</t>
  </si>
  <si>
    <t>Anisotropic texture of ice sheet surfaces</t>
  </si>
  <si>
    <t>FLOW; ANTARCTICA; GLACIERS</t>
  </si>
  <si>
    <t>[1] In this paper we analyze the magnitude and spatial organization of small-scale surface features (the surface texture) of the Greenland and Antarctic ice sheets. The texture is revealed in shaded relief maps of digital elevation models because surface slopes emphasize short-wavelength topography. We show that the surface slope components parallel to and perpendicular to the ice flow direction of ice sheets are both qualitatively and quantitatively different from one another. The parallel component variations are larger in magnitude than the perpendicular component variations, and features in maps of the parallel component are elongated perpendicular to the ice flow direction, while features in maps of the perpendicular component are elongated at a diagonal to the ice flow direction. These properties may be explained by a simple model of glacier dynamics in which a linearly viscous slab of ice flows over a random, isotropic, red noise bed. In this model an anisotropic surface results from an isotropic bed because the surface anisotropy derives from the anisotropic transfer of bed topography to the surface by viscous flow dynamics. The modeling results suggest that analysis of surface texture magnitude and anisotropy can be used to identify areas of sliding ice from surface topography data alone and can be used to roughly estimate sliding rates where bed topography is known.</t>
  </si>
  <si>
    <t>Univ Washington, Dept Earth &amp; Space Sci, Seattle, WA 98195 USA; Univ Colorado, Natl Snow &amp; Ice Data Ctr, Boulder, CO 80309 USA</t>
  </si>
  <si>
    <t>University of Washington; University of Washington Seattle; University of Colorado System; University of Colorado Boulder</t>
  </si>
  <si>
    <t>Univ Washington, Dept Earth &amp; Space Sci, Condon Hall 310,Box 351310, Seattle, WA 98195 USA.</t>
  </si>
  <si>
    <t>ben@ess.washington.edu</t>
  </si>
  <si>
    <t>Scambos, Ted A/B-1856-2009</t>
  </si>
  <si>
    <t>SCAMBOS, Ted A./0000-0003-4268-6322</t>
  </si>
  <si>
    <t>F1</t>
  </si>
  <si>
    <t>F01019</t>
  </si>
  <si>
    <t>10.1029/2005JF000393</t>
  </si>
  <si>
    <t>026IO</t>
  </si>
  <si>
    <t>WOS:000236332800002</t>
  </si>
  <si>
    <t>Clilverd, MA; Seppälä, A; Rodger, CJ; Thomson, NR; Verronen, PT; Turunen, E; Ulich, T; Lichtenberger, J; Steinbach, P</t>
  </si>
  <si>
    <t>Modeling polar ionospheric effects during the October-November 2003 solar proton events</t>
  </si>
  <si>
    <t>D-REGION ENHANCEMENTS; VLF PHASE; AMPLITUDE; PRECIPITATION; TRANSMISSIONS; PERTURBATIONS; ATMOSPHERE</t>
  </si>
  <si>
    <t>At Ny Alesund, Svalbard (78 degrees 54'N, 11 degrees 53'E, L similar to 18), a narrowband VLF receiver was used to monitor the behavior of the amplitude of several high-power transmitters located in the Northern Hemisphere under the influence of the solar proton events (SPE) of October/November 2003. We have used Sodankyla ion chemistry (SIC) atmospheric model profiles calculated at the midpoint location of the propagation paths in the northern wintertime polar region to investigate the radio propagation properties of several high-latitude paths. Different paths showed different responses to the proton precipitation, but propagation modeling was broadly able to account for most of the positive and negative responses observed. Using the SIC-based electron density profiles, we have been able to develop models of ionospheric effective height (h') and sharpness (beta) in order to describe the D region behavior as a function of proton flux, extending previous work which reported beta and h' values as functions of the X-ray flux from solar flares. As a result of these models, our understanding of VLF propagation influenced by SPEs is such that VLF observations might be used to predict changes in the ionospheric D region electron density profiles during other particle precipitation events.</t>
  </si>
  <si>
    <t>British Antarctic Survey, NERC, Div Phys Sci, Cambridge CB3 0ET, England; Finnish Meteorol Inst, FIN-00101 Helsinki, Finland; Univ Otago, Dept Phys, Dunedin, New Zealand; Univ Oulu, Sodankyla Geophys Observ, FIN-99600 Sodankyla, Finland; Eotvos Lorand Univ, Space Res Grp, H-1518 Budapest, Hungary; Hungarian Acad Sci, Res Grp Geoinformat &amp; Space Sci, Geol Res Grp, Budapest, Hungary</t>
  </si>
  <si>
    <t>UK Research &amp; Innovation (UKRI); Natural Environment Research Council (NERC); NERC British Antarctic Survey; Finnish Meteorological Institute; University of Otago; University of Oulu; Eotvos Lorand University; Hungarian Academy of Sciences</t>
  </si>
  <si>
    <t>British Antarctic Survey, NERC, Div Phys Sci, Madingley Rd, Cambridge CB3 0ET, England.</t>
  </si>
  <si>
    <t>m.clilverd@bas.ac.uk; annika.seppala@fmi.fi; crodger@physics.otago.ac.nz; thomson@physics.otago.ac.nz; pekka.verronen@fmi.fi; esa@sgo.fi; thu@sgo.fi; spacerg@sas.elte.hu; spacerg@sas.elte.hu</t>
  </si>
  <si>
    <t>Verronen, P. T./AIE-0203-2022; Verronen, Pekka T/G-6658-2014; Seppälä, Annika/C-8031-2014; Rodger, Craig/A-1501-2011; Ulich, Thomas/G-3727-2018; Lichtenberger, Janos/K-1034-2018</t>
  </si>
  <si>
    <t>Verronen, P. T./0000-0002-3479-9071; Seppälä, Annika/0000-0002-5028-8220; Ulich, Thomas/0000-0001-8217-022X; Rodger, Craig J./0000-0002-6770-2707; Turunen, Esa/0000-0001-8232-8744; Steinbach, Peter/0000-0003-2524-8494; Lichtenberger, Janos/0000-0001-9175-9255</t>
  </si>
  <si>
    <t>RS2001</t>
  </si>
  <si>
    <t>10.1029/2005RS003290</t>
  </si>
  <si>
    <t>026JP</t>
  </si>
  <si>
    <t>WOS:000236335500001</t>
  </si>
  <si>
    <t>Lukianova, R; Christiansen, F</t>
  </si>
  <si>
    <t>Modeling of the global distribution of ionospheric electric fields based on realistic maps of field-aligned currents</t>
  </si>
  <si>
    <t>INTERPLANETARY MAGNETIC-FIELD; STATISTICAL PATTERNS; CONVECTION</t>
  </si>
  <si>
    <t>[1] A new approach for modeling the global distribution of ionospheric electric potentials utilizing high-precision maps of FACs derived from measurements by the Orsted and Champ satellites as input to a comprehensive numerical scheme is presented. The boundary conditions provide a correct treatment of the asymmetry of conductivity and sources of electric potential between the northern and southern hemispheres. On the basis of numerical simulation the basic convection patterns developed simultaneously in both hemispheres for equinox and summer/winter solstices are obtained. A rather complicated dependence of the convection patterns on season linked with the sign of IMF B-Y is found. In particular, the combinations of B-Y &gt; 0/summer and B-Y &lt; 0/winter produce the highest circular flow around the pole in comparison with the combinations of B-Y &lt; 0/summer and B-Y &gt; 0/winter. The model predicts that the summer cross-polar potentials are smaller than the winter potentials. The value of the ratio depends on the combination of season/IMF B-Y sign. The ratio is found to be greater for the combination of B-Y &gt; 0/southern summer and B-Y &lt; 0/northern summer. The smallest value is obtained for the combination of B-Y &lt; 0/southern summer and B-Y &gt; 0/northern summer under northward IMF conditions. At middle latitudes the main features of the MLT-profile of the westward and equatorward electric field components are reproduced. The model predicts that during solstice the equatorward component of the midlatitude electric field is negative at all local times for B-Y &lt; 0 and positive for B-Y &gt; 0.</t>
  </si>
  <si>
    <t>St Petersburg State Univ, Dept Phys, St Petersburg 199397, Russia; Arctic &amp; Antarctic Res Inst, St Petersburg 199226, Russia; Danish Natl Space Ctr, Copenhagen, Denmark</t>
  </si>
  <si>
    <t>Saint Petersburg State University; Arctic &amp; Antarctic Research Institute; Technical University of Denmark</t>
  </si>
  <si>
    <t>St Petersburg State Univ, Dept Phys, 38 Bering St, St Petersburg 199397, Russia.</t>
  </si>
  <si>
    <t>renata@aari.nw.ru</t>
  </si>
  <si>
    <t>Lukianova, Renata/K-3293-2012; Christiansen, Freddy/AAW-9935-2021</t>
  </si>
  <si>
    <t>Lukianova, Renata/0000-0003-2343-9174; Christiansen, Freddy/0000-0001-9415-0621</t>
  </si>
  <si>
    <t>MAR 17</t>
  </si>
  <si>
    <t>A3</t>
  </si>
  <si>
    <t>A03213</t>
  </si>
  <si>
    <t>10.1029/2005JA011465</t>
  </si>
  <si>
    <t>026JI</t>
  </si>
  <si>
    <t>WOS:000236334800005</t>
  </si>
  <si>
    <t>Fyfe, JC; Saenko, OA</t>
  </si>
  <si>
    <t>Simulated changes in the extratropical Southern Hemisphere winds and currents</t>
  </si>
  <si>
    <t>ANTARCTIC CIRCUMPOLAR CURRENT; CIRCULATION; MODEL</t>
  </si>
  <si>
    <t>The results from 12 global climate models show a remarkably consistent strengthening and poleward shifting of the zonal wind stress through the 20th and 21st centuries at extratropical Southern Hemisphere latitudes. Changes in the zonal circulation of the ocean in the region are broadly consistent with the changes in zonal wind stress. In particular, the climate models simulate a strengthening and a poleward shift of the Antarctic Circumpolar Current. The strengthening of the zonal wind stress also results in intensifying northward Ekman transport across the Antarctic Circumpolar Current which, in the unblocked latitudes of Drake Passage, implies increasing southward geostrophic transport in the ocean below about 2000 m. Zonal wind stress changes such as these may be expected to enhance the mesoscale eddy activity in the Southern Ocean.</t>
  </si>
  <si>
    <t>Univ Victoria, Meteorol Serv Canada, Canadian Ctr Climate Modelling &amp; Anal, Victoria, BC V8W 2Y2, Canada</t>
  </si>
  <si>
    <t>Environment &amp; Climate Change Canada; Meteorological Service of Canada; University of Victoria; Canadian Centre for Climate Modelling &amp; Analysis (CCCma)</t>
  </si>
  <si>
    <t>Univ Victoria, Meteorol Serv Canada, Canadian Ctr Climate Modelling &amp; Anal, POB 1700, Victoria, BC V8W 2Y2, Canada.</t>
  </si>
  <si>
    <t>john.fyfe@ec.gc.ca</t>
  </si>
  <si>
    <t>MAR 16</t>
  </si>
  <si>
    <t>L06701</t>
  </si>
  <si>
    <t>10.1029/2005GL025332</t>
  </si>
  <si>
    <t>026HU</t>
  </si>
  <si>
    <t>WOS:000236330800007</t>
  </si>
  <si>
    <t>Peck, L</t>
  </si>
  <si>
    <t>Terra Antarctica: Looking into the emptiest continent</t>
  </si>
  <si>
    <t>Peck, L (corresponding author), British Antarctic Survey, Madingley Rd, Cambridge CB3 0ET, England.</t>
  </si>
  <si>
    <t>10.1038/440281a</t>
  </si>
  <si>
    <t>021QG</t>
  </si>
  <si>
    <t>WOS:000235997600031</t>
  </si>
  <si>
    <t>Abelmann, A; Gersonde, R; Cortese, G; Kuhn, G; Smetacek, V</t>
  </si>
  <si>
    <t>Extensive phytoplankton blooms in the Atlantic sector of the glacial Southern Ocean</t>
  </si>
  <si>
    <t>SEA-SURFACE TEMPERATURES; SINKING ORGANIC-MATTER; IRON ENRICHMENT; ATMOSPHERIC CO2; NORTH PACIFIC; PARTICLE-FLUX; POLAR FRONT; ROSS SEA; CARBON; ICE</t>
  </si>
  <si>
    <t>The sources and sinks of atmospheric carbon dioxide over glacial/interglacial cycles are under debate. Variation in productivity of the Antarctic Circumpolar Current (ACC) could potentially play a significant role, but current interpretations of sedimentary geochemical proxies suggest that glacial productivity was not higher than today. We present areal and down-core distribution patterns of previously overlooked diatom resting spores that indicate the occurrence of extensive phytoplankton blooms across the entire Atlantic sector of the ACC, particularly in the seasonal ice zone (SIZ), linked to higher iron input during the last glacial. Sea ice acts as an effective transporter of iron and enhances its bioavailability. The dominance of the deep living radiolarian Cyladophora davisiana in glacial SIZ sediments indicates that organic carbon export to mesopelagic depths was at least tenfold higher than today.</t>
  </si>
  <si>
    <t>Alfred Wegener Inst Polar &amp; Marine Res, D-27568 Bremerhaven, Germany</t>
  </si>
  <si>
    <t>Alfred Wegener Inst Polar &amp; Marine Res, Alten Hafen 26, D-27568 Bremerhaven, Germany.</t>
  </si>
  <si>
    <t>aabelmann@awi-bremerhaven.de</t>
  </si>
  <si>
    <t>Cortese, Giuseppe/0000-0003-1780-3371; Kuhn, Gerhard/0000-0001-6069-7485; Abelmann, Andrea/0000-0001-9432-0002</t>
  </si>
  <si>
    <t>PA1013</t>
  </si>
  <si>
    <t>10.1029/2005PA001199</t>
  </si>
  <si>
    <t>026JO</t>
  </si>
  <si>
    <t>WOS:000236335400001</t>
  </si>
  <si>
    <t>Gabrielli, P; Barbante, C; Turetta, C; Marteel, A; Boutron, C; Cozzi, G; Cairns, W; Ferrari, C; Cescon, P</t>
  </si>
  <si>
    <t>Direct determination of rare earth elements at the subpicogram per gram level in antarctic ice by ICP-SFMS using a desolvation system</t>
  </si>
  <si>
    <t>ANALYTICAL CHEMISTRY</t>
  </si>
  <si>
    <t>HEAVY-METAL ANALYSIS; EAST ANTARCTICA; TRACE-ELEMENTS; MASS-SPECTROMETRY; CLIMATIC CYCLES; POLAR ICE; DOME-C; WATER; SNOW; PRECONCENTRATION</t>
  </si>
  <si>
    <t>A method, based on inductively coupled plasma sector field mass spectrometry coupled with a microflow nebulizer and a desolvation system, has been developed for the direct determination of rare earth elements (REE) (La, Ce, Pr, Nd, Sm, Eu, Gd, Tb, Dy, Ho, Er, Tm, Yb, Lu) down to the subpicogram per gram level (1 pg/g = 10(-12) gg(-1)) in similar to 1 mL of molten Antarctic ice. Contamination problems were carefully taken into account by adopting ultra-clean procedures during the sample pretreatment phases. The use of a desolvation system for sample introduction during the analysis greatly reduced spectral interferences from oxide formation; the residual interfering contributions were calculated and subtracted whenever necessary. A matched calibration curve method was used for the quantification of the analytes. Instrumental detection limits ranged from 0.001 pg/g for Ho, Tm, and Lu to 0.03 pg/g for Gd. The precision, in terms of relative standard deviation on 10 replicates, ranged from 2% for La, Ce, Pr, and Lu, up to 10% for Er, Tm, and Yb. This methodology allowed the direct determination of REE in a 1-mL sample of ancient Antarctic ice with concentration ranges between 0.006 and 0.4 pg/g for Tm and 0.9-60 pg/g for Ce.</t>
  </si>
  <si>
    <t>Univ Venice, Inst Dynam Environm Proc, CNR, I-30123 Venice, Italy; Univ Venice, Dept Environm Sci, I-30123 Venice, Italy; CNRS, Lab Glaciol &amp; Geophys Environm, F-38402 St Martin Dheres, France; Univ Siena, Dept Geol Sci, I-53100 Siena, Italy; Univ Grenoble 1, Observ Sci, F-38041 Grenoble, France; Univ Grenoble 1, Unite Format &amp; Rech Phys, Inst Univ France, F-38041 Grenoble, France; Univ Grenoble 1, Ecole Polytech, Inst Univ France, F-38041 Grenoble, France</t>
  </si>
  <si>
    <t>Universita Ca Foscari Venezia; Consiglio Nazionale delle Ricerche (CNR); Istituto per la Dinamica dei Processi Ambientali (IDPA-CNR); Universita Ca Foscari Venezia; Centre National de la Recherche Scientifique (CNRS); University of Siena; Communaute Universite Grenoble Alpes; Universite Grenoble Alpes (UGA); Institut Universitaire de France; Communaute Universite Grenoble Alpes; Universite Grenoble Alpes (UGA); Institut Universitaire de France; Communaute Universite Grenoble Alpes; Universite Grenoble Alpes (UGA)</t>
  </si>
  <si>
    <t>Univ Venice, Inst Dynam Environm Proc, CNR, I-30123 Venice, Italy.</t>
  </si>
  <si>
    <t>barbante@unive.it</t>
  </si>
  <si>
    <t>Cozzi, Giulio/R-4554-2019; Turetta, Clara/O-2849-2015; Cairns, Warren/AAX-5018-2020; Barbante, Carlo/B-3195-2011; Cozzi, Giulio/F-6473-2010</t>
  </si>
  <si>
    <t>Cozzi, Giulio/0000-0001-8796-4176; Turetta, Clara/0000-0003-3130-2901; Cairns, Warren/0000-0002-7128-7753; Cescon, Paolo/0000-0003-1836-6759; Barbante, Carlo/0000-0003-4177-2288</t>
  </si>
  <si>
    <t>0003-2700</t>
  </si>
  <si>
    <t>1520-6882</t>
  </si>
  <si>
    <t>ANAL CHEM</t>
  </si>
  <si>
    <t>Anal. Chem.</t>
  </si>
  <si>
    <t>MAR 15</t>
  </si>
  <si>
    <t>10.1021/ac0518957</t>
  </si>
  <si>
    <t>Chemistry, Analytical</t>
  </si>
  <si>
    <t>025ZY</t>
  </si>
  <si>
    <t>WOS:000236307700021</t>
  </si>
  <si>
    <t>Huber, C; Beyerle, U; Leuenberger, M; Schwander, J; Kipfer, R; Spahni, R; Severinghaus, JP; Weiler, K</t>
  </si>
  <si>
    <t>Evidence for molecular size dependent gas fractionation in firn air derived from noble gases, oxygen, and nitrogen measurements</t>
  </si>
  <si>
    <t>firn; firn air; firn-ice transition; fractionation; diffusion; noble gases</t>
  </si>
  <si>
    <t>ABRUPT CLIMATE-CHANGE; POLAR ICE CORES; ATMOSPHERIC METHANE; ANTARCTIC ICE; CARBON-CYCLE; TRAPPED AIR; GREENLAND; RECORD; O-2; CH4</t>
  </si>
  <si>
    <t>We present elemental and isotopic measurements of noble gases (He, Ne, Ar, Kr, and Xe), oxygen and nitrogen of firn air from two sites. The first set of samples was taken in 1998 at the summit of the Devon Ice Cap in the eastern part of Devon Island. The second set was taken in 2001 at NGRIP location (North Greenland). He and Ne are heavily enriched relative to Ar with respect to the atmosphere in the air near the close-off depth at around 50-70 in. The enrichment increases with depth and reaches the maximum value in the deepest samples just above the zone of impermeable ice where no free air could be extracted anymore. Similarly, elemental ratios of O(2)/N(2), O(2)/Ar and Ar/N(2) are increasing with depth. In contrast but in line with expectations, isotopic ratios of (15)N/(14)N, (18)O/(16)O, and (36)Ar/(40)Ar show no significant enrichment near the close-off depth. The observed isotopic ratios in the firn air column can be explained within the uncertainty ranges by the well-known processes of gravitational enrichment and thermal diffusion. To explain the elemental ratios, however, an additional fractionation process during bubble inclusion has to be considered. We implemented this additional process into our firn air model. The fractionation factors were found by fitting model profiles to the data. We found a very similar close-off fractionation behavior for the different molecules at both sites. For smaller gas species (mainly He and Ne) the fractionation factors are linearly correlated to the molecule size, whereas for diameters greater than about 3.6 A the fractionation seems to be significantly smaller or even negligible. An explanation for this size dependent fractionation process could be gas diffusion through the ice lattice. At Devon Island the enrichment at the bottom of the firn air column is about four times higher compared to NGRIP. We explain this by lower firn diffusivity at Devon Island, most probably due to melt layers, resulting in significantly reduced back diffusion of the excess gas near the close-off depth. The results of this study considerably increase the understanding of the processes occurring during air bubble inclusion near the close-off depth in firn and can help to improve the interpretation of direct firn air measurements, as well as air bubble measurements in ice cores, which are used in numerous studies as paleo proxies. (c) 2006 Elsevier B.V. All rights reserved.</t>
  </si>
  <si>
    <t>Univ Bern, CH-3012 Bern, Switzerland; EAWAG, Dept Water Resources &amp; Drinking Water, CH-8600 Dubendorf, Switzerland; ETH, CH-8092 Zurich, Switzerland; Univ Calif San Diego, Scripps Inst Oceanog, La Jolla, CA 92093 USA</t>
  </si>
  <si>
    <t>University of Bern; Swiss Federal Institutes of Technology Domain; Swiss Federal Institute of Aquatic Science &amp; Technology (EAWAG); Swiss Federal Institutes of Technology Domain; ETH Zurich; University of California System; University of California San Diego; Scripps Institution of Oceanography</t>
  </si>
  <si>
    <t>Leuenberger, M (corresponding author), Univ Bern, CH-3012 Bern, Switzerland.</t>
  </si>
  <si>
    <t>huber@climate.unibe.ch; urs.beyerle@psi.ch; leuenberger@climate.unibe.ch; schwander@climate.unibe.ch; kipfer@eawag.ch; spahni@climate.unibe.ch; jseveringhaus@ucsd.edu; weiler@climate.unibe.ch</t>
  </si>
  <si>
    <t>Leuenberger, Markus C/K-9655-2016; Beyerle, Urs/M-9490-2017</t>
  </si>
  <si>
    <t>Leuenberger, Markus C/0000-0003-4299-6793; Huber, Christof/0000-0001-5767-045X; Beyerle, Urs/0000-0002-6464-0838</t>
  </si>
  <si>
    <t>10.1016/j.epsl.2005.12.036</t>
  </si>
  <si>
    <t>024RT</t>
  </si>
  <si>
    <t>WOS:000236214500006</t>
  </si>
  <si>
    <t>Fink, D; McKelvey, B; Hambrey, MJ; Fabel, D; Brown, R</t>
  </si>
  <si>
    <t>Pleistocene deglaciation chronology of the Amery Oasis and Radok Lake, northern Prince Charles Mountains, Antarctica</t>
  </si>
  <si>
    <t>Pleistocene glacial chronology; cosmogenic isotopes; northern Prince Charles Mountains; East Antarctic Ice Sheet</t>
  </si>
  <si>
    <t>SITU COSMOGENIC NUCLIDES; ICE-SHEET DYNAMICS; PRYDZ BAY-REGION; EAST ANTARCTICA; PRODUCTION-RATES; VICTORIA LAND; EXPOSURE AGES; DRY-VALLEYS; HALF-LIFE; BE-10</t>
  </si>
  <si>
    <t>The East Antarctic Ice Sheet is the largest ice mass on Earth with a capacity to raise global sea level by up to 65 m. As the Lambert Glacier-Amery Ice Shelf drainage system is the largest to reach the coast of Antarctica, quantifying its evolution over the Quaternary is a vital component in developing an understanding of the Antarctic response to future climate change. Here we present a deglaciation chronology based on Be-10 and Al-26 in situ cosmogenic exposure ages of the northern Prince Charles Mountains, which flank the Lambert Glacier-Amery system, and that records the progressive emergence of McLeod Massif and Radok Lake basin from beneath the Mac.Robertson Land lobe of the East Antarctic Ice Sheet. The exposure ages monotonically decrease with both decreasing altitude and increasing proximity to the Amery Ice Shelf at the Antarctic coast. Exposure ages from the crests of McLeod Massif near the edge the Amery Ice Shelf and from Fisher Massif, 75 km further inland, each at similar to 1200 m above sea level, are 2.2 +/- 0.3 and 1.9 +/- 0.2 Ma, respectively, suggesting their continuous exposure above the ice sheet at least since close to the Plio-Pleistocene boundary. An extensive plateau at similar to 800 m altitude on McLeod Massif above Battye Glacier records the massifs increased emergence above the ice sheet surface at about between 880 and 930 ka ago indicating 400 m of ice volume reduction in the mid Pleistocene. Correcting these apparent ages for a reasonable choice in erosion rate would extend this event to similar to 1.15 Ma - a period identified from Prydz Bay ODP core-1167 when sedimentation composition alters and rates decrease 10-fold. Exposure ages from boulder-mantled erosional surfaces above and beyond the northern end of Radok Lake at 220 m, range from 28 to 121 ka. Independent of choice of model interpretation to explain this age spread, the most recent major reoccupation of Radok Lake by Battye Glacier ice occurred during the last glacial cycle. Moraine ridges at the lower altitude of 70-125 m were deposited during the final withdrawal of Battye Glacier ice from the lake basin between 11 and 20 ka ago. This new chronology indicates that the highest Amery Oasis peaks have not been overridden by the Mac.Robertson Land lobe of the East Antarctic Ice Sheet for at least the past 2 Ma. Since this time we document 3 major periods of regional reduction in ice sheet volume at similar to 1.1 Ma, during the last glacial cycle (120 to 30 ka) and through the Last Glacial Maximum (20 to 10 ka) that resulted in an overall 1000 m of ice lowering in the Battye Glacier-Radok Lake region. (c) 2005 Elsevier B.V. All rights reserved.</t>
  </si>
  <si>
    <t>Australian Nucl Sci &amp; Technol Org, Menai, NSW 2234, Australia; Univ New England, Armidale, NSW 3251, Australia; Univ Wales, Ctr Glaciol, Aberystwyth SY23 3DB, Dyfed, Wales; Univ Glasgow, Dept Geog &amp; Earth Sci, Glasgow G12 8QQ, Lanark, Scotland</t>
  </si>
  <si>
    <t>Australian Nuclear Science &amp; Technology Organisation; University of New England; Aberystwyth University; University of Glasgow</t>
  </si>
  <si>
    <t>Australian Nucl Sci &amp; Technol Org, PMB 1, Menai, NSW 2234, Australia.</t>
  </si>
  <si>
    <t>fink@ansto.gov.au</t>
  </si>
  <si>
    <t>fink, David/A-9518-2012; Fabel, Derek/A-2999-2010</t>
  </si>
  <si>
    <t>fink, David/0000-0001-7156-4602; Fabel, Derek/0000-0003-2859-3293</t>
  </si>
  <si>
    <t>10.1016/j.epsl.2005.12.006</t>
  </si>
  <si>
    <t>WOS:000236214500020</t>
  </si>
  <si>
    <t>Powell, SM; Ferguson, SH; Snape, I; Siciliano, SD</t>
  </si>
  <si>
    <t>Fertilization stimulates anaerobic fuel degradation of antarctic soils by denitrifying microorganisms</t>
  </si>
  <si>
    <t>MCMURDO DRY VALLEYS; REDUCTASE GENES; HYDROCARBON DEGRADATION; PETROLEUM-HYDROCARBONS; LOW-TEMPERATURE; BACTERIA; DENITRIFICATION; BIODEGRADATION; MINERALIZATION; OXIDATION</t>
  </si>
  <si>
    <t>Human activities in the Antarctic have resulted in hydrocarbon contamination of these fragile polar soils. Bioremediation is one of the options for remediation of these sites. However, little is known about anaerobic hydrocarbon degradation in polar soils and the influence of bioremediation practices on these processes. Using a field trial at Old Casey Station, Antarctica, we assessed the influence of fertilization on the anaerobic degradation of a 20-year old fuel spill. Fertilization increased hydrocarbon degradation in both anaerobic and aerobic soils when compared to controls, but was of most benefit for anaerobic soils where evaporation was negligible. This increased biodegradation in the anaerobic soils corresponded with a shift in the denitrifier community composition and an increased abundance of denitrifiers and benzoyl-CoA reductase. A microcosm study using toluene and hexadecane confirmed the degradative capacity within these soils under anaerobic conditions. It was observed that fertilized anaerobic soil degraded more of this hydrocarbon spike when incubated anaerobically than when incubated aerobically. We conclude that denitrifiers are actively involved in hydrocarbon degradation in Antarctic soils and that fertilization is an effective means of stimulating their activity. Further, when communities stimulated to degrade hydrocarbons under anaerobic conditions are exposed to oxygen, hydrocarbon degradation is suppressed. The commonly accepted belief that remediation of polar soils requires aeration needs to be reevaluated in light of this new data.</t>
  </si>
  <si>
    <t>Univ Tasmania, Sch Agr Sci, Hobart, Tas 7001, Australia; Australian Antarctic Div, Dept Heritage &amp; Environm, Kingston, Tas 7050, Australia; Univ Saskatchewan, Saskatoon, SK S7N 5A8, Canada</t>
  </si>
  <si>
    <t>University of Tasmania; Australian Antarctic Division; University of Saskatchewan</t>
  </si>
  <si>
    <t>Univ Tasmania, Sch Agr Sci, Hobart, Tas 7001, Australia.</t>
  </si>
  <si>
    <t>shanep@utas.edu.au</t>
  </si>
  <si>
    <t>Powell, Shane M/C-2391-2014; Siciliano, Steven D/G-3370-2011</t>
  </si>
  <si>
    <t>Powell, Shane/0000-0001-5082-1630; Siciliano, Steven/0000-0002-8994-3341</t>
  </si>
  <si>
    <t>10.1021/es051818t</t>
  </si>
  <si>
    <t>024RN</t>
  </si>
  <si>
    <t>WOS:000236213900043</t>
  </si>
  <si>
    <t>Lever, JH; Ray, LR; Streeter, A; Price, A</t>
  </si>
  <si>
    <t>Solar power for an Antarctic rover</t>
  </si>
  <si>
    <t>HYDROLOGICAL PROCESSES</t>
  </si>
  <si>
    <t>62nd Eastern Snow Conference (ESC)</t>
  </si>
  <si>
    <t>JUN 07-10, 2005</t>
  </si>
  <si>
    <t>Waterloo, CANADA</t>
  </si>
  <si>
    <t>robotic vehicle; solar irradiance; albedo; over-snow mobility; rolling resistance</t>
  </si>
  <si>
    <t>Sensors mounted on mobile robots Could serve a variety of science missions in Antarctica. Although weather conditions can be harsh, Antarctic snowfields offer unique conditions to facilitate long-distance robot deployment: the absence of obstacles, firm snow with high albedo, and 24 h sunlight during the summer. We have developed a four-wheel-drive, solar-powered rover that capitalizes on these advantaaes. Analyses and field measurements confirm that solar power reflected from Antarctic snow contributes 30-40% of the power available to a robot consisting of a five-side box of solar panels. Mobility analyses indicate that the 80 kg rover can move at 0.8 m s(-1) during clear sky conditions on firm snow into a 5 m s(-1) headwind, twice the speed needed to achieve the design target of 500 km in 2 weeks. Local winter tests of the chassis demonstrated good grade-climbing ability and lower than predicted rolling resistance. Tests of the completed robot occurred in Greenland in 2005. Copyright (c) 2006 John Wiley &amp; Sons, Ltd.</t>
  </si>
  <si>
    <t>CRREL, Hanover, NH 03755 USA; Dartmouth Coll, Thayer Sch Engn, Hanover, NH 03755 USA</t>
  </si>
  <si>
    <t>United States Department of Defense; United States Army; U.S. Army Corps of Engineers; U.S. Army Engineer Research &amp; Development Center (ERDC); Cold Regions Research &amp; Engineering Laboratory (CRREL); Dartmouth College</t>
  </si>
  <si>
    <t>CRREL, 72 Lyme Rd, Hanover, NH 03755 USA.</t>
  </si>
  <si>
    <t>james.h.lever@erdc.usace.army.mil</t>
  </si>
  <si>
    <t>Ray, Laura/0000-0001-7769-2373</t>
  </si>
  <si>
    <t>0885-6087</t>
  </si>
  <si>
    <t>1099-1085</t>
  </si>
  <si>
    <t>HYDROL PROCESS</t>
  </si>
  <si>
    <t>Hydrol. Process.</t>
  </si>
  <si>
    <t>10.1002/hyp.6121</t>
  </si>
  <si>
    <t>Water Resources</t>
  </si>
  <si>
    <t>026IK</t>
  </si>
  <si>
    <t>WOS:000236332400002</t>
  </si>
  <si>
    <t>Fogt, RL; Bromwich, DH</t>
  </si>
  <si>
    <t>Decadal variability of the ENSO teleconnection to the high-latitude South Pacific governed by coupling with the southern annular mode</t>
  </si>
  <si>
    <t>SEA-SURFACE TEMPERATURE; ATLANTIC CLIMATE-CHANGE; ANTARCTIC OSCILLATION INDEX; EL-NINO; PART II; EXTRATROPICAL CIRCULATION; HEMISPHERE CIRCULATION; LEVEL PRESSURE; AMERICAN MODES; PRECIPITATION</t>
  </si>
  <si>
    <t>Decadal variability of the El Nino-Southern Oscillation (ENSO) teleconnection to the high-latitude South Pacific is examined by correlating the European Centre for Medium-Range Weather Forecasts (ECMWF) 40-yr Re-Analysis (ERA-40) and observations with the Southern Oscillation index (SOI) over the last two decades. There is a distinct annual contrast between the 1980s and the 1990s, with the strong teleconnection in the 1990s being explained by in enhanced response during austral spring. Geopotential height anomaly composites constructed during the peak ENSO seasons also demonstrate the decadal variability. Empirical orthogonal function (EOF) analysis reveals that the 1980s September-November (SON) teleconnection is weak due to the interference between the Pacific-south American (PSA) pattern associated with ENSO and the Southern Annular Mode (SAM). An in-phase relationship between these two modes during SON in the 1990s amplifies the height and pressure anomalies in the South Pacific, producing the strong teleconnections seen in the correlation and composite analyses. The in-phase relationship between the tropical and high-latitude forcing also exists in December-February (DJF) during the 1980s and 1990s. These results suggest that natural climate variability plays in important role in the variability of SAM, ill agreement with a growing body of literature. Additionally, the significantly positive correlation between ENSO and SAM only during times of strong teleconnection Suggests that both the Tropics and the high latitudes need to work together in order for ENSO to strongly influence Antarctic climate.</t>
  </si>
  <si>
    <t>Ohio State Univ, Byrd Polar Res Ctr, Polar Meteorol Grp, Columbus, OH 43210 USA; Ohio State Univ, Atmospher Sci Program, Dept Geog, Columbus, OH 43210 USA</t>
  </si>
  <si>
    <t>Fogt, RL (corresponding author), Ohio State Univ, Byrd Polar Res Ctr, Polar Meteorol Grp, 1090 Carmack Rd, Columbus, OH 43210 USA.</t>
  </si>
  <si>
    <t>rfogt@polarmet1.mps.ohio-state.edu</t>
  </si>
  <si>
    <t>Bromwich, David H/C-9225-2016; Fogt, Ryan L/B-6989-2008</t>
  </si>
  <si>
    <t>Fogt, Ryan L/0000-0002-5398-3990</t>
  </si>
  <si>
    <t>10.1175/JCLI3671.1</t>
  </si>
  <si>
    <t>032HM</t>
  </si>
  <si>
    <t>WOS:000236765500006</t>
  </si>
  <si>
    <t>Holdsworth, DA; Morris, RJ; Murphy, DJ; Reid, IM; Burns, GB; French, WJR</t>
  </si>
  <si>
    <t>Antarctic mesospheric temperature estimation using the Davis mesosphere-stratosphere-troposphere radar</t>
  </si>
  <si>
    <t>STATION 69-DEGREES-S; THERMAL STRUCTURE; METEOR; DIFFUSION; MESOPAUSE; MIDDLE; ROCKET; WIND</t>
  </si>
  <si>
    <t>This paper presents the first Antarctic meteor radar temperature estimates. These temperatures have been derived from meteor diffusion coefficients using two techniques: pressure model and temperature gradient model. The temperatures are compared with a temperature model derived using colocated OH spectrometer measurements and Northern Hemisphere rocket observations. Pressure model temperatures derived using rocket-derived pressures show good agreement with the temperature model, while those derived using Mass Spectrometer and Incoherent Scatter (MSIS) and CIRA model pressures show good agreement in winter but poor agreement in summer. This confirms previous studies suggesting the unreliability of high-latitude CIRA pressures. The temperature gradient model temperatures show good agreement with the temperature model but show larger fluctuations than the pressure model temperatures. Meteor temperature estimates made during the Southern delta-Aquarids meteor shower are shown to be biased, suggesting that care should be taken in applying meteor temperature estimation during meteor showers. On the basis of our results we recommend the use of the pressure model technique at all sites, subject to determination of an appropriate pressure model.</t>
  </si>
  <si>
    <t>Australian Antarctic Div, Kingston, Tas 7050, Australia; ATRAD Pty Ltd, Thebarton, SA 5031, Australia; Univ Adelaide, Dept Phys, Adelaide, SA 5005, Australia</t>
  </si>
  <si>
    <t>Australian Antarctic Division; ATRAD Pty Ltd.; University of Adelaide</t>
  </si>
  <si>
    <t>Australian Antarctic Div, Channel Highway, Kingston, Tas 7050, Australia.</t>
  </si>
  <si>
    <t>dholdswo@atrad.com.au</t>
  </si>
  <si>
    <t>Reid, Iain/B-5681-2012</t>
  </si>
  <si>
    <t>Reid, Iain/0000-0003-2340-9047; French, John/0000-0001-9305-6190</t>
  </si>
  <si>
    <t>D5</t>
  </si>
  <si>
    <t>D05108</t>
  </si>
  <si>
    <t>10.1029/2005JD006589</t>
  </si>
  <si>
    <t>026IE</t>
  </si>
  <si>
    <t>WOS:000236331800005</t>
  </si>
  <si>
    <t>Ferraccioli, F; Jones, PC; Vaughan, APM; Leat, PT</t>
  </si>
  <si>
    <t>New aerogeophysical view of the Antarctic Peninsula: More pieces, less puzzle</t>
  </si>
  <si>
    <t>WESTERN PALMER LAND; ISLAND-ARC; ALEXANDER ISLAND; RANGES BATHOLITH; BAJA-CALIFORNIA; CRUSTAL GROWTH; SHEAR ZONE; MAGMATISM; ACCRETION; MARGINS</t>
  </si>
  <si>
    <t>[1] New airborne geophysical data reveal subglacial imprints of crustal growth of the Antarctic Peninsula by Mesozoic arc magmatism and terrane accretion along the paleo-Pacific margin of Gondwana. Potential field signatures indicate that the Antarctic Peninsula batholith is a composite magmatic arc terrane comprising two distinct arcs, separated by a &gt;1500 km-long suture zone, similar to the Peninsular Ranges batholith in southern and Baja California. Aeromagnetic, aerogravity and geological data suggest that a mafic Early Cretaceous western arc was juxtaposed against a more felsic eastern arc which, in mid-Cretaceous times, was intruded by highly magnetic tonalitic/granodioritic plutons of island arc affinity. Suturing of the two arcs against the Gondwana margin caused the mid-Cretaceous Palmer Land orogenic event. Convergence and suturing may have been driven by two subduction zones or, alternatively, by a decrease in slab dip, leading to an inboard migration of the arc, as in California.</t>
  </si>
  <si>
    <t>ffe@bas.ac.uk</t>
  </si>
  <si>
    <t>Vaughan, Alan PM/B-7829-2010</t>
  </si>
  <si>
    <t>Ferraccioli, Fausto/0000-0002-9347-4736</t>
  </si>
  <si>
    <t>Natural Environment Research Council [bas010006] Funding Source: researchfish; NERC [bas010006] Funding Source: UKRI</t>
  </si>
  <si>
    <t>MAR 11</t>
  </si>
  <si>
    <t>L05310</t>
  </si>
  <si>
    <t>10.1029/2005GL024636</t>
  </si>
  <si>
    <t>025MG</t>
  </si>
  <si>
    <t>WOS:000236269800004</t>
  </si>
  <si>
    <t>Shprits, YY; Thorne, RM; Horne, RB; Glauert, SA; Cartwright, M; Russell, CT; Baker, DN; Kanekal, SG</t>
  </si>
  <si>
    <t>Acceleration mechanism responsible for the formation of the new radiation belt during the 2003 Halloween solar storm</t>
  </si>
  <si>
    <t>QUASI-LINEAR DIFFUSION; RELATIVISTIC ELECTRONS; CRRES OBSERVATIONS; MAGNETIC STORM; PITCH-ANGLE; EMIC WAVES; ART.; COEFFICIENTS; MAGNETOSPHERE; SCATTERING</t>
  </si>
  <si>
    <t>[1] Observations of the relativistic electron flux increases during the first days of November, 2003 are compared to model simulations of two leading mechanisms for electron acceleration. It is demonstrated that radial diffusion driven by ULF waves cannot explain the formation of the new radiation belt in the slot region and instead predicts a decay of fluxes during the recovery phase of the October 31st storm. Compression of the plasmasphere during the main phases of the storm created preferential conditions for local acceleration during interactions with VLF chorus. Local acceleration of electrons at L = 3 is modelled with a 2-D pitch-angle, energy diffusion code. We show that the energy diffusion driven by whistler mode waves can explain the gradual build up of fluxes to energies exceeding 3 MeV in a new radiation belt which is formed in the slot region normally devoid of high energy electrons.</t>
  </si>
  <si>
    <t>Univ Calif Los Angeles, Dept Atmospher &amp; Ocean Sci, Los Angeles, CA 90095 USA; Univ Colorado, Atmospher &amp; Space Phys Lab, Boulder, CO 80309 USA; Univ Calif Los Angeles, Dept Earth &amp; Space Sci, Los Angeles, CA 90095 USA; British Antarctic Survey, Cambridge CB3 0ET, England</t>
  </si>
  <si>
    <t>University of California System; University of California Los Angeles; University of Colorado System; University of Colorado Boulder; University of California System; University of California Los Angeles; UK Research &amp; Innovation (UKRI); Natural Environment Research Council (NERC); NERC British Antarctic Survey</t>
  </si>
  <si>
    <t>Univ Calif Los Angeles, Dept Atmospher &amp; Ocean Sci, Los Angeles, CA 90095 USA.</t>
  </si>
  <si>
    <t>yshprits@atmos.ucla.edu</t>
  </si>
  <si>
    <t>Horne, Richard B/U-3764-2019; Shprits, Yuri Y/I-2174-2014; Russell, Christopher/E-7745-2012</t>
  </si>
  <si>
    <t>Horne, Richard B/0000-0002-0412-6407; Shprits, Yuri/0000-0002-9625-0834; Russell, Christopher/0000-0003-1639-8298</t>
  </si>
  <si>
    <t>L05104</t>
  </si>
  <si>
    <t>10.1029/2005GL024256</t>
  </si>
  <si>
    <t>WOS:000236269800001</t>
  </si>
  <si>
    <t>von Clarmann, T; Glatthor, N; Grabowski, U; Höpfner, M; Kellmann, S; Linden, A; Tsidu, GM; Milz, M; Steck, T; Stiller, GP; Fischer, H; Funke, B</t>
  </si>
  <si>
    <t>Global stratospheric HOCl distributions retrieved from infrared limb emission spectra recorded by the Michelson Interferometer for Passive Atmospheric Sounding (MIPAS)</t>
  </si>
  <si>
    <t>MOLECULAR SPECTROSCOPIC DATABASE; REGULARIZATION; DEPLETION; PROFILES; CLONO2; OZONE; MODEL; ICE; HCL</t>
  </si>
  <si>
    <t>[1] Vertical profiles of stratospheric HOCl were retrieved from limb emission spectra recorded by the Michelson Interferometer for Passive Atmospheric Sounding (MIPAS) aboard the Envisat research satellite. These are the first HOCl measurements with global coverage. The nu(2) transitions between 1215.725 and 1275.550 cm(-1) were used for inference of the vertical profiles. The maximal volume mixing ratios were found in the tropics at altitudes of similar to 35 km ( daytime) and similar to 37 km (nighttime), with values up to 0.22 ppbv and 0.23 ppbv for zonal mean values at 5 degrees latitude binning. The peak altitude of nonpolar nighttime measurements is on average higher by 2.4 +/- 0.3 km compared to nonpolar daytime measurements and higher by 2.2 +/- 0.3 km at high latitudes poleward of +/- 45 degrees compared to respective equatorward latitudes. The diurnal variability is largest at 30 degrees S at 46 km altitude, reaching amplitudes of 0.11 ppbv. In the Antarctic a secondary peak at 23 - 25 km (0.14 ppbv) was found on 19 - 24 September 2002, which is attributed to heterogeneous chemistry. An estimated single-profile precision of 0.03 - 0.08 ppbv could be achieved at an altitude resolution of 9 km in an altitude range between 20 and 50 km. Taking the trend into account, these measurements are reasonably consistent with former far-infrared measurements.</t>
  </si>
  <si>
    <t>Forschungszentrum Karlsruhe, Inst Meteorol &amp; Klimaforsch, D-76021 Karlsruhe, Germany; CSIC, Inst Astrofis Andalucia, E-18080 Granada, Spain</t>
  </si>
  <si>
    <t>Helmholtz Association; Karlsruhe Institute of Technology; Consejo Superior de Investigaciones Cientificas (CSIC); CSIC - Instituto de Astrofisica de Andalucia (IAA)</t>
  </si>
  <si>
    <t>Forschungszentrum Karlsruhe, Inst Meteorol &amp; Klimaforsch, Postfach 3640, D-76021 Karlsruhe, Germany.</t>
  </si>
  <si>
    <t>thomas.clarmann@imk.fzk.de; bernd@iaa.es</t>
  </si>
  <si>
    <t>Tsidu, Gizaw Mengistu/AAG-6048-2019; Glatthor, Norbert/B-2141-2013; Stiller, Gabriele P./A-7340-2013; Milz, Mathias/C-9899-2011; von Clarmann, Thomas/A-7287-2013; Funke, Bernd/C-2162-2008; Hopfner, Michael/A-7255-2013</t>
  </si>
  <si>
    <t>Stiller, Gabriele P./0000-0003-2883-6873; Mengistu Tsidu, Gizaw/0000-0003-3076-4696; Funke, Bernd/0000-0003-0462-4702; von Clarmann, Thomas/0000-0003-2219-3379; Hopfner, Michael/0000-0002-4174-9531; Milz, Mathias/0000-0002-4478-2185</t>
  </si>
  <si>
    <t>MAR 9</t>
  </si>
  <si>
    <t>D05311</t>
  </si>
  <si>
    <t>10.1029/2005JD005939</t>
  </si>
  <si>
    <t>025MM</t>
  </si>
  <si>
    <t>WOS:000236270400001</t>
  </si>
  <si>
    <t>Swadling, KM</t>
  </si>
  <si>
    <t>Krill migration: Up and down all night</t>
  </si>
  <si>
    <t>CURRENT BIOLOGY</t>
  </si>
  <si>
    <t>VERTICAL MIGRATION; FECAL PELLETS</t>
  </si>
  <si>
    <t>A new study showing Antarctic krill sink when their stomachs are full has provided indirect evidence that krill undergo multiple daily vertical migrations. Such behavior could make a significant contribution to carbon sequestration by the deep oceans.</t>
  </si>
  <si>
    <t>Univ Tasmania, Tasmanian Aquaculture &amp; Fisheries Inst, Hobart, Tas 7001, Australia; Univ Tasmania, Sch Zool, Hobart, Tas 7001, Australia</t>
  </si>
  <si>
    <t>Swadling, KM (corresponding author), Univ Tasmania, Tasmanian Aquaculture &amp; Fisheries Inst, Private Bag 49, Hobart, Tas 7001, Australia.</t>
  </si>
  <si>
    <t>Swadling, Kerrie/0000-0002-7620-841X</t>
  </si>
  <si>
    <t>CELL PRESS</t>
  </si>
  <si>
    <t>600 TECHNOLOGY SQUARE, 5TH FLOOR, CAMBRIDGE, MA 02139 USA</t>
  </si>
  <si>
    <t>0960-9822</t>
  </si>
  <si>
    <t>CURR BIOL</t>
  </si>
  <si>
    <t>Curr. Biol.</t>
  </si>
  <si>
    <t>MAR 7</t>
  </si>
  <si>
    <t>R173</t>
  </si>
  <si>
    <t>R175</t>
  </si>
  <si>
    <t>10.1016/j.cub.2006.02.044</t>
  </si>
  <si>
    <t>Biochemistry &amp; Molecular Biology; Biology; Cell Biology</t>
  </si>
  <si>
    <t>Biochemistry &amp; Molecular Biology; Life Sciences &amp; Biomedicine - Other Topics; Cell Biology</t>
  </si>
  <si>
    <t>022LA</t>
  </si>
  <si>
    <t>WOS:000236056100017</t>
  </si>
  <si>
    <t>Ollitrault, M; Lankhorst, M; Fratantoni, D; Richardson, P; Zenk, W</t>
  </si>
  <si>
    <t>Zonal intermediate currents in the equatorial Atlantic Ocean</t>
  </si>
  <si>
    <t>WESTERN SOUTH-ATLANTIC; EASTERN EQUATORIAL; TROPICAL ATLANTIC; WATER MASSES; CIRCULATION; TRANSPORTS; BOUNDARY; PACIFIC; SECTION; FLOWS</t>
  </si>
  <si>
    <t>[1] Acoustic float data collected near 800 m depth, are used to map zonal mean currents within the Antarctic Intermediate Water (AAIW) tongue in the equatorial Atlantic. Alternating zonal jets of 2 degrees latitudinal width are revealed between 6 degrees S and 6 degrees N. Displacements from profiling floats drifting near 1000 m depth, also reveal similar zonal jets at the base of the AAIW layer. The strongest jets (15 cm s(-1) peak) are found at 4 degrees S, 2 degrees S, 0 degrees, 2 degrees N and 4 degrees N. They are coherent longitudinally over order of 3000 km and, poleward of 1 degrees S and 1 degrees N, generally coherent vertically between 800 m and 1000 m. Large seasonal fluctuations exist at both levels: within 1 degrees of equator, AAIW at 800 m flows westward (8 cm s(-1) mean) in boreal summer and fall but eastward (3 cm s(-1) mean) in winter, whereas the flow at 1000 m is eastward in late fall and winter.</t>
  </si>
  <si>
    <t>IFREMER, Ctr Brest, F-29280 Plouzane, France; Leibniz Inst Meereswissensch, GEOMAR, D-24105 Kiel, Germany; Woods Hole Oceanog Inst, Woods Hole, MA 02543 USA</t>
  </si>
  <si>
    <t>Ifremer; Helmholtz Association; GEOMAR Helmholtz Center for Ocean Research Kiel; Woods Hole Oceanographic Institution</t>
  </si>
  <si>
    <t>IFREMER, Ctr Brest, BP 70, F-29280 Plouzane, France.</t>
  </si>
  <si>
    <t>mollitra@ifremer.fr; mlankhorst@ifm-geomar.de; dfratantoni@whoi.edu; prichardson@whoi.edu; wzenk@ifm-geomar.de</t>
  </si>
  <si>
    <t>Richardson, Philip L./AAV-5976-2021; Fratantoni, David M/C-7121-2011</t>
  </si>
  <si>
    <t>Lankhorst, Matthias/0000-0002-4166-4044</t>
  </si>
  <si>
    <t>L05605</t>
  </si>
  <si>
    <t>10.1029/2005GL025368</t>
  </si>
  <si>
    <t>025LZ</t>
  </si>
  <si>
    <t>Green Accepted, Bronze, Green Published</t>
  </si>
  <si>
    <t>WOS:000236269100007</t>
  </si>
  <si>
    <t>Higaki, S; Oya, Y; Makide, Y</t>
  </si>
  <si>
    <t>Emission of methane from stainless steel surface investigated by using tritium as a radioactive tracer</t>
  </si>
  <si>
    <t>CHEMISTRY LETTERS</t>
  </si>
  <si>
    <t>ANTARCTIC ICE CORE; ATMOSPHERIC METHANE; INCREASE</t>
  </si>
  <si>
    <t>Gas-phase methane contamination caused from stainless steel (SS) surface by metal-metal friction was investigated by introducing tritium as a tracer of hydrogen atom in the metal surface. The emissions of HT, CH3T, and CH4 were measured by radio-gas-chromatography, and the SS canister containing many small SS balls inside was shaken to reproduce the metal-metal friction. The results indicate that the oxide layer on SS surface is controlling the emission of methane.</t>
  </si>
  <si>
    <t>Univ Tokyo, Radioisotope Ctr, Bunkyo Ku, Tokyo 1130032, Japan</t>
  </si>
  <si>
    <t>University of Tokyo</t>
  </si>
  <si>
    <t>Makide, Y (corresponding author), Univ Tokyo, Radioisotope Ctr, Bunkyo Ku, 2-11-16 Yayoi, Tokyo 1130032, Japan.</t>
  </si>
  <si>
    <t>makide@ric.u-tokyo.ac.jp</t>
  </si>
  <si>
    <t>Higaki, Shogo/G-5100-2013; Higaki, Shogo/N-8792-2019</t>
  </si>
  <si>
    <t>Higaki, Shogo/0000-0002-5098-6475; Higaki, Shogo/0000-0002-5098-6475</t>
  </si>
  <si>
    <t>CHEMICAL SOC JAPAN</t>
  </si>
  <si>
    <t>1-5 KANDA-SURUGADAI CHIYODA-KU, TOKYO, 101-8307, JAPAN</t>
  </si>
  <si>
    <t>0366-7022</t>
  </si>
  <si>
    <t>1348-0715</t>
  </si>
  <si>
    <t>CHEM LETT</t>
  </si>
  <si>
    <t>Chem. Lett.</t>
  </si>
  <si>
    <t>MAR 5</t>
  </si>
  <si>
    <t>10.1246/cl.2006.292</t>
  </si>
  <si>
    <t>038GL</t>
  </si>
  <si>
    <t>WOS:000237207000024</t>
  </si>
  <si>
    <t>Liu, XC; Jahn, BM; Zhao, Y; Li, M; Li, HM; Liu, XH</t>
  </si>
  <si>
    <t>Late Pan-African granitoids from the Grove Mountains, East Antarctica: Age, origin and tectonic implications</t>
  </si>
  <si>
    <t>charnockite; granite; enriched mantle; Pan-African; Grove Mountains; Prydz Belt East Antarctica</t>
  </si>
  <si>
    <t>PRINCE-CHARLES MOUNTAINS; DRONNING MAUD LAND; CAMBRIAN OROGENIC BELT; A-TYPE GRANITES; PB ZIRCON AGES; LARSEMANN-HILLS; PRYDZ-BAY; U-PB; SRI-LANKA; FERROMAGNESIAN SILICATES</t>
  </si>
  <si>
    <t>The Grove Mountains of East Antarctica are an inland continuation of the Pan-African Prydz Belt. The area is made up of high-grade metamorphic complex and numerous intrusive granitoid bodies including foliated charnockite, sheeted granite and charnockitic and granitic dykes. U-Pb zircon dating reveals that the charnockite, charnockitic dyke, granite and granitic dyke were emplaced in succession during the period from 550 to 500 Ma. Trace element abundances indicate that all the granitoids are of A-type affinity, characterized by enrichment in REE, Y, Ba, Sr, Ga and HFS elements (Zr, Nb, Th). Sr-Nd isotopic analyses yielded high initial Sr-87/(86) Sr ratios (0.7095-0.7156) and low epsilon(Nd)(7) values (-9.2 to -13.4). Depleted mantle-based Nd model ages range from 2.0 to 2.3 Ga. These geochemical and isotopic signatures point to their ultimate derivation from a long-term enriched subcontinental lithospheric mantle. The charnockites of the Grove Mountains have low SiO2 contents and high abundances of K and Ti; they are likely produced by partial melting of an alkaline basaltic protolith at elevated temperatures (980-1050 degrees C) at deep crust. The protolith could represent underplated magma derived from metasomatized Paleoproterozoic mantle during the late stage of the orogeny. The associated charnockitic dykes have somewhat higher SiO2 and more distinct negative Eu, Nb, Sr, P and Ti anomalies in spidergrams, suggesting that the dykes have undergone a greater degree of fractional crystallization. Granites were emplaced later than charnockites by 20-40 Ma. However, these two rocks have rather similar trace element and Sr-Nd isotopic characteristics, indicating that they share the same enriched basaltic source. For the granitic rocks alone, two types with different REE patterns and emplacement ages could be identified, suggesting two-stage partial melting for their derivation. Relative to charnockites, the dominant intrusive granites have slightly higher epsilon(Nd)(7) values, which could be compared with most metamorphic rocks from the Grove Mountains, hence a crustal contamination is implied in their petrogenesis. Granitic dykes are less silicic than granites; they were probably generated by a higher degree of melting of the same source. Geothermobarometry of the granitoids (charnockites and granites) and associated metamorphic rocks demonstrates that the Grove Mountains underwent an earlier near-isothermal decompression of an overthickened crust, followed by a near-isobaric cooling accompanying deep emplacement (&gt;= 15 km) of granitoids during the time interval of 550-500 Ma. Implicitly, the Prydz Belt must represent a Pan-African orogen formed by collision between the Indo-Antarctic and Australo-Antarctic continental blocks. (c) 2005 Elsevier B.V. All rights reserved.</t>
  </si>
  <si>
    <t>Chinese Acad Geol Sci, Beijing 100081, Peoples R China; Acad Sinica, Inst Earth Sci, Taipei 11529, Taiwan; Tianjin Inst Geol &amp; Mineral Resources, Tianjin 300170, Peoples R China; Chinese Acad Sci, Inst Geol &amp; Geophys, Beijing 100029, Peoples R China</t>
  </si>
  <si>
    <t>China Geological Survey; Chinese Academy of Geological Sciences; Academia Sinica - Taiwan; Chinese Academy of Sciences; Institute of Geology &amp; Geophysics, CAS</t>
  </si>
  <si>
    <t>Chinese Acad Geol Sci, 11 Minzudaxue Nanlu, Beijing 100081, Peoples R China.</t>
  </si>
  <si>
    <t>liuxchqw@yahoo.com.cn</t>
  </si>
  <si>
    <t>Jahn, Bor-ming/B-8323-2009</t>
  </si>
  <si>
    <t>Jahn, Bor-ming/0000-0001-5532-2398</t>
  </si>
  <si>
    <t>10.1016/j.precamres.2005.11.017</t>
  </si>
  <si>
    <t>027DH</t>
  </si>
  <si>
    <t>WOS:000236393400007</t>
  </si>
  <si>
    <t>Christoffersen, P; Tulaczyk, S; Carsey, FD; Behar, AE</t>
  </si>
  <si>
    <t>A quantitative framework for interpretation of basal ice facies formed by ice accretion over subglacial sediment</t>
  </si>
  <si>
    <t>FREEZE-ON MECHANISM; WEST ANTARCTICA; DEBRIS ENTRAINMENT; TRAPRIDGE GLACIER; ATLANTIC-OCEAN; NORTH-ATLANTIC; STREAM B; MODEL; REGELATION; BENEATH</t>
  </si>
  <si>
    <t>[1] We have constructed a numerical model of basal ice formation for glacier ice in contact with subglacial sediment. The model predicts four different ice facies whose formation is controlled by availability of subglacial water to satisfy the basal freeze-on rate. Clean ( or clotted) facies may result from congelation ( or frazil) ice growth occurring when ( supercooled) meltwater separates ice base from substrate or if a groundwater source can supply water to the ice base at a velocity equal to the freezing rate. Laminated facies develops when the supply of subglacial water is sufficiently constrained for cryostatic suction to raise the subglacial effective stress above a threshold for intrusion of ice into sediment by regelation. Debris laminas ( similar to 1 mm) are entrained by short, periodic regelation events ( of a few hours) separated by longer periods ( days to months) of congelation. Further meltwater limitation produces a massive dirty ice facies due to stacking of debris laminas. The model predicts growth of solid dirty ice facies when the bed is meltwater-depleted with fast freezing ( 5 mm yr(-1)) causing enhanced erosion ( 30 mm yr(-1)). We find that basal ice facies and sediment entrainment are controlled mainly by the ratio of freezing rate to water supply rate. The predicted ice facies compare favorably with borehole camera imagery of the basal ice layer in Kamb Ice Stream, West Antarctica. Facies variability in this layer suggests complex hydrologic history for the West Antarctic Ice Sheet with significant changes occurring over a period of several thousand years.</t>
  </si>
  <si>
    <t>Univ Calif Santa Cruz, Dept Earth Sci, Santa Cruz, CA 95064 USA; CALTECH, Jet Prop Lab, Pasadena, CA 91109 USA</t>
  </si>
  <si>
    <t>University of California System; University of California Santa Cruz; National Aeronautics &amp; Space Administration (NASA); NASA Jet Propulsion Laboratory (JPL); California Institute of Technology</t>
  </si>
  <si>
    <t>Univ Wales, Inst Geog &amp; Earth Sci, Ctr Glaciol, Aberystwyth SY23 3DB, Dyfed, Wales.</t>
  </si>
  <si>
    <t>pac@aber.ac.uk</t>
  </si>
  <si>
    <t>Christoffersen, Poul/W-3708-2019; Tulaczyk, Slawek/O-7375-2018</t>
  </si>
  <si>
    <t>Christoffersen, Poul/0000-0003-2643-8724; Tulaczyk, Slawek/0000-0002-9711-4332</t>
  </si>
  <si>
    <t>MAR 4</t>
  </si>
  <si>
    <t>F01017</t>
  </si>
  <si>
    <t>10.1029/2005JF000363</t>
  </si>
  <si>
    <t>021PJ</t>
  </si>
  <si>
    <t>WOS:000235994800003</t>
  </si>
  <si>
    <t>Durand, G; Weiss, J; Lipenkov, V; Barnola, JM; Krinner, G; Parrenin, F; Delmonte, B; Ritz, C; Duval, P; Röthlisberger, R; Bigler, M</t>
  </si>
  <si>
    <t>Effect of impurities on grain growth in cold ice sheets</t>
  </si>
  <si>
    <t>CRYSTAL-SIZE; POLAR ICE; DOME-C; DYNAMIC RECRYSTALLIZATION; COMPUTER-SIMULATION; CORE; ANTARCTICA; GREENLAND; RECORD; EPICA</t>
  </si>
  <si>
    <t>[1] On the basis of a detailed study of the ice microstructure of the European Project for Ice Coring in Antarctica (EPICA) ice core at Dome Concordia, Antarctica, we analyze the effect of impurities (solubles, and insolubles, that is, dust particles) on the grain growth process in cold ice sheets. As a general trend, the average grain size increases with depth. This global increase, induced by the normal grain growth process, is punctuated by several sharp decreases that can be associated with glacial-interglacial climatic transitions. To explain the modifications of the microstructure with climatic changes, we discuss the role of soluble and insoluble impurities on the grain growth process, coupled with an analysis of the pinning of grain boundaries by microparticles. Our data indicate that high soluble impurity content does not necessarily imply a slowdown of grain growth kinetics, whereas the pinning of grain boundaries by dust explains all the observed modifications of the microstructure. We propose a numerical model of the evolution of the average grain size in deep ice cores that takes into account recrystallization processes such as normal grain growth and rotation recrystallization as well as the pinning effect induced by dust particles, bubbles, and clathrates on the grain boundaries. Applied to the first 2135 m of the Dome Concordia core, the model reproduces accurately the measured mean grain radius. This indicates a major role of dust in the modification of polar ice microstructure and shows that the average grain size is not a true paleothermometer, as it is correlated with climatic transitions through the dust content of the ice.</t>
  </si>
  <si>
    <t>CNRS, Lab Glaciol &amp; Geophys Environm, F-38402 St Martin Dheres, France; Univ Grenoble 1, F-38402 St Martin Dheres, France; Arctic &amp; Antarctic Res Inst, St Petersburg 199397, Russia; Univ Bern, Bern, Switzerland</t>
  </si>
  <si>
    <t>Centre National de la Recherche Scientifique (CNRS); Communaute Universite Grenoble Alpes; Universite Grenoble Alpes (UGA); Arctic &amp; Antarctic Research Institute; University of Bern</t>
  </si>
  <si>
    <t>Univ Copenhagen, Niels Bohr Inst, Rockfeller Komplekset, Juliane Maries Vej 30, DK-2100 Copenhagen, Denmark.</t>
  </si>
  <si>
    <t>weiss@lgge.obs.ujf-grenoble.fr</t>
  </si>
  <si>
    <t>Delmonte, Barbara/L-2555-2015; Bishnoi, Mamta/AAQ-8346-2021; Krinner, Gerhard/AAB-8837-2022; Parrenin, Frédéric/H-3054-2014; Bigler, Matthias/HTT-3872-2023; Krinner, Gerhard/A-6450-2011; Lipenkov, Vladimir/Q-8262-2016</t>
  </si>
  <si>
    <t>Delmonte, Barbara/0000-0002-9074-2061; Bishnoi, Mamta/0000-0003-4987-0536; Krinner, Gerhard/0000-0002-2959-5920; Parrenin, Frédéric/0000-0002-9489-3991; Bigler, Matthias/0000-0003-0184-4013; Ritz, Catherine/0000-0003-0785-8571; Lipenkov, Vladimir/0000-0003-4221-5440; Durand, Gael/0000-0001-8979-2355</t>
  </si>
  <si>
    <t>F01015</t>
  </si>
  <si>
    <t>10.1029/2005JF000320</t>
  </si>
  <si>
    <t>WOS:000235994800001</t>
  </si>
  <si>
    <t>Silva, TAM; Bigg, GR; Nicholls, KW</t>
  </si>
  <si>
    <t>Contribution of giant icebergs to the Southern Ocean freshwater flux</t>
  </si>
  <si>
    <t>ICE SHELF; SEA-ICE; ANTARCTIC ICEBERG; WEDDELL SEA; IMPACT; DRIFT; CIRCULATION</t>
  </si>
  <si>
    <t>[1] In the period 1979 - 2003 the mass of giant'' icebergs ( icebergs larger than 18.5 km in length) calving from Antarctica averaged 1089 +/- 300 Gt yr(-1) of ice, under half the snow accumulation over the continent given by the Intergovernmental Panel on Climate Change ( 2246 +/- 86 Gt yr(-1)). Here we combine a database of iceberg tracks from the National Ice Center and a model of iceberg thermodynamics in order to estimate the amount and distribution of meltwater attributable to giant icebergs. By comparing with published modeled meltwater distribution for smaller bergs we show that giant icebergs have a different melting pattern: An estimated 35% of giant icebergs' mass is exported north of 63 degrees S versus 3% for smaller bergs, although giant bergs spend more of the earlier part of their history nearer to the coast. We combine both estimates to produce the first iceberg meltwater map that takes into account giant icebergs. The average meltwater input is shown to exceed precipitation minus evaporation ( P - E) in certain areas and is a nonnegligible term in the balance of freshwater fluxes in the Southern Ocean. The calving of giant icebergs is, however, episodic; this might have implications for their impact on the freshwater budget of the ocean. It is estimated that over the period 1987 - 2003 the meltwater flux in the Weddell and Ross seas has varied by at least 15,000 m(3) s(-1) over a month. Because of the potential sensitivity of the production of deep waters to abrupt changes in the freshwater budget, variations in iceberg melt rates of this magnitude might be climatologically significant.</t>
  </si>
  <si>
    <t>Univ Sheffield, Dept Geog, Sheffield S10 2TN, S Yorkshire, England; British Antarctic Survey, NERC, Cambridge CB3 0ET, England</t>
  </si>
  <si>
    <t>University of Sheffield; UK Research &amp; Innovation (UKRI); Natural Environment Research Council (NERC); NERC British Antarctic Survey</t>
  </si>
  <si>
    <t>Univ Sheffield, Dept Geog, Winter St, Sheffield S10 2TN, S Yorkshire, England.</t>
  </si>
  <si>
    <t>t.silva@sheffield.ac.uk</t>
  </si>
  <si>
    <t>Bigg, Grant/GXW-2219-2022</t>
  </si>
  <si>
    <t>Silva, Tiago/0000-0002-8316-2376</t>
  </si>
  <si>
    <t>C03004</t>
  </si>
  <si>
    <t>10.1029/2004JC002843</t>
  </si>
  <si>
    <t>021PL</t>
  </si>
  <si>
    <t>WOS:000235995000001</t>
  </si>
  <si>
    <t>Virkkula, A; Teinilä, K; Hillamo, R; Matti-Kerminen, V; Saarikoski, S; Aurela, M; Koponen, IK; Kulmala, M</t>
  </si>
  <si>
    <t>Chemical size distributions of boundary layer aerosol over the Atlantic Ocean and at an Antarctic site</t>
  </si>
  <si>
    <t>SEA-SALT PARTICLES; CLOUD-CONDENSATION-NUCLEI; EXPERIMENT ACE 1; MARINE AEROSOLS; METEOROLOGICAL TRANSPORT; CHLORIDE DEPLETION; SULFATE FORMATION; CASCADE IMPACTOR; COARSE PARTICLES; MID-PACIFIC</t>
  </si>
  <si>
    <t>[1] Chemical size distributions of aerosols were measured using a 12-stage low-pressure impactor over the Atlantic Ocean in November - December 1999 and at an Antarctic site, Aboa, in January 2000. In the polluted latitudes north of the equator, particles were neutral in all sizes but accumulation mode was acidic in the clean areas. Chloride depletion was analyzed in detail. In most areas, chloride depletion could be explained by replacement by sulfate, nitrate, and methane sulfonate. In Antarctica the chloride losses increased in all size ranges and the contribution of each anion to the chloride depletion varied with increasing air mass residence time over continental Antarctica. The modal structure of the size distributions of ionic compounds was analyzed. The modes derived from chemical mass size distributions were compared with modes obtained from number size distributions. The modes of non-sea-salt sulfate and MSA were very similar suggesting that these particles were internally mixed. The nitrate mass modes were closer to the sea salt surface modes than the sea salt mass modes, suggesting that nitrate was on the surface of sea salt particles.</t>
  </si>
  <si>
    <t>Virkkula, A (corresponding author), Finnish Meteorol Inst, FIN-00560 Helsinki, Finland.</t>
  </si>
  <si>
    <t>Saarikoski, Sanna/A-6706-2015; Saarikoski, Sanna/M-9529-2019; Virkkula, Aki/B-8575-2014; Aurela, Mika/L-4724-2014; Kulmala, Markku/I-7671-2016</t>
  </si>
  <si>
    <t>Saarikoski, Sanna/0000-0002-6349-8016; Virkkula, Aki/0000-0003-4874-7552; Aurela, Mika/0000-0002-4046-7225; Kulmala, Markku/0000-0003-3464-7825</t>
  </si>
  <si>
    <t>MAR 3</t>
  </si>
  <si>
    <t>D05306</t>
  </si>
  <si>
    <t>10.1029/2004JD004958</t>
  </si>
  <si>
    <t>021PG</t>
  </si>
  <si>
    <t>WOS:000235994500001</t>
  </si>
  <si>
    <t>Iles, RHA; Meredith, NP; Fazakerley, AN; Horne, RB</t>
  </si>
  <si>
    <t>Phase space density analysis of the outer radiation belt energetic electron dynamics</t>
  </si>
  <si>
    <t>WHISTLER-MODE CHORUS; RELATIVISTIC ELECTRONS; GEOMAGNETIC STORMS; INNER MAGNETOSPHERE; PITCH-ANGLE; SOLAR-WIND; STOCHASTIC ACCELERATION; DIFFUSION-COEFFICIENTS; GEOSYNCHRONOUS ORBIT; RESONANT INTERACTION</t>
  </si>
  <si>
    <t>[1] We present an analysis of the electron phase space density in the Earth's outer radiation belt during three magnetically disturbed periods to determine the likely roles of inward radial diffusion and local acceleration in the energization of electrons to relativistic energies. During the recovery phase of the 9 October 1990 storm and the period of prolonged substorms between 11 and 16 September 1990, the relativistic electron phase space density increases substantially and peaks in the phase space density occur in the region 4.0 &lt; L* &lt; 5.5 for values of the first adiabatic invariant, M &gt;= 550 MeV/ G, corresponding to energies, E &gt; similar to 0.8 MeV. The peaks in the phase space density are associated with prolonged substorm activity, enhanced chorus amplitudes, and predominantly low values of the ratio between the electron plasma frequency, f(pe), and the electron gyrofrequency, f(ce) (f(pe)/f(ce) &lt; similar to 4). The data provide further evidence for a local wave acceleration process in addition to radial diffusion operating in the heart of the outer radiation belt. During the recovery phase of the 9 October 1990 storm the peaks are more pronounced at large M ( 550 MeV/ G) and large Kaufmann K (0.11 G(1/2) R-E) than large M (700 MeV/G) and small K (0.025 G(1/2) R-E), which suggests that radial diffusion is more effective below about 0.7 MeV for 5.0 &lt; L* &lt; 5.5 during this period. At low M (M &lt;= 250 MeV/G), corresponding to energies, E &lt; similar to 0.8 MeV, there is no evidence for a peak in phase space density and the data are more consistent with inward radial diffusion and losses to the atmosphere by pitch angle scattering. During the 26 August 1990 storm there is a net loss in the relativistic electron phase space density for 3.3 &lt; L* &lt; 6.0. At low M ( M &lt;= 250 MeV/ G) the phase space density decreases by almost a constant factor and the gradient remains positive for all L*, but at high M (M &gt;= 550 MeV/G) the decrease in phase space density is greater at larger L* and the gradient changes from positive to negative. The data show that it is possible to have inward radial diffusion at low energies and outward radial diffusion at higher energies, which would fill the outer radiation belt.</t>
  </si>
  <si>
    <t>UCL, Mullard Space Sci Lab, Surrey, England; Univ Surrey, SolarMetr Ltd, Surrey, England; British Antarctic Survey, Cambridge CB3 0ET, England</t>
  </si>
  <si>
    <t>University of London; University College London; University of Surrey; UK Research &amp; Innovation (UKRI); Natural Environment Research Council (NERC); NERC British Antarctic Survey</t>
  </si>
  <si>
    <t>UCL, Mullard Space Sci Lab, Surrey, England.</t>
  </si>
  <si>
    <t>roger.iles@solarmetrics.com</t>
  </si>
  <si>
    <t>Meredith, Nigel P/C-5806-2018; Horne, Richard B/U-3764-2019</t>
  </si>
  <si>
    <t>Horne, Richard B/0000-0002-0412-6407; Meredith, Nigel/0000-0001-5032-3463</t>
  </si>
  <si>
    <t>A03204</t>
  </si>
  <si>
    <t>10.1029/2005JA011206</t>
  </si>
  <si>
    <t>021PR</t>
  </si>
  <si>
    <t>WOS:000235995700002</t>
  </si>
  <si>
    <t>Mahowald, NM; Lamarque, JF; Tie, XX; Wolff, E</t>
  </si>
  <si>
    <t>Sea-salt aerosol response to climate change: Last Glacial Maximum, preindustrial, and doubled carbon dioxide climates</t>
  </si>
  <si>
    <t>ICE CORE; ATMOSPHERIC AEROSOL; OPTICAL-PROPERTIES; GREENLAND ICE; FROST FLOWERS; MODEL; DUST; DISTRIBUTIONS; SIMULATION; CHEMISTRY</t>
  </si>
  <si>
    <t>[1] Sea-salt aerosols represent a significant fraction of the aerosol optical depth over the oceans, and thus their response to changes in climate represents an important potential feedback on climate. Model results for sea-salt aerosols in the Community Atmospheric Model (CAM3) show good agreement with observations for the current climate. Additionally, the current climate model simulations presented here are not sensitive to the sea surface temperature boundary conditions or model resolution. We show model results for the response of sea-salt aerosols to climate change for the Last Glacial Maximum, preindustrial, current, and doubled carbon dioxide climate model simulations. Our model results suggest that globally averaged sea-salt sources, deposition, and loading are not very sensitive to climate change and change &lt; 5% for these disparate climates. Regional differences are much larger, with differences in zonally averaged concentrations as large as 40% seen between the current climate and a doubled carbon dioxide climate. While ice core studies show twofold to fivefold changes in sea-salt fluxes between Last Glacial Maximum and the current climate, our simulations cannot reproduce these changes, even after including a proposed sea ice source of sea salts.</t>
  </si>
  <si>
    <t>Natl Ctr Atmospher Res, Boulder, CO 80307 USA; British Antarctic Survey, NERC, Cambridge CB3 0ET, England</t>
  </si>
  <si>
    <t>National Center Atmospheric Research (NCAR) - USA; UK Research &amp; Innovation (UKRI); Natural Environment Research Council (NERC); NERC British Antarctic Survey</t>
  </si>
  <si>
    <t>Natl Ctr Atmospher Res, 1850 Table Mesa Dr, Boulder, CO 80307 USA.</t>
  </si>
  <si>
    <t>mahowald@ucar.edu</t>
  </si>
  <si>
    <t>Mahowald, Natalie M/D-8388-2013; Lamarque, Jean-Francois/L-2313-2014; Wolff, Eric W/D-7925-2014</t>
  </si>
  <si>
    <t>Mahowald, Natalie M/0000-0002-2873-997X; Wolff, Eric W/0000-0002-5914-8531</t>
  </si>
  <si>
    <t>MAR 2</t>
  </si>
  <si>
    <t>D05303</t>
  </si>
  <si>
    <t>10.1029/2005JD006459</t>
  </si>
  <si>
    <t>021PF</t>
  </si>
  <si>
    <t>WOS:000235994400002</t>
  </si>
  <si>
    <t>Gerhard, LC</t>
  </si>
  <si>
    <t>Climate change: Conflict of observational science, theory, and politics: Reply</t>
  </si>
  <si>
    <t>AAPG BULLETIN</t>
  </si>
  <si>
    <t>NORTHERN-HEMISPHERE TEMPERATURES; ANTARCTIC ICE-SHEET; SOLAR-CYCLE; UNCERTAINTIES; VARIABILITY; FREQUENCY; INDICATOR; HOLOCENE; CARBON; CORE</t>
  </si>
  <si>
    <t>Thomasson Partner Associates, Lawrence, KS 66047 USA</t>
  </si>
  <si>
    <t>Gerhard, LC (corresponding author), Thomasson Partner Associates, Lawrence, KS 66047 USA.</t>
  </si>
  <si>
    <t>leeg@sunflower.com</t>
  </si>
  <si>
    <t>AMER ASSOC PETROLEUM GEOLOGIST</t>
  </si>
  <si>
    <t>1444 S BOULDER AVE, PO BOX 979, TULSA, OK 74119-3604 USA</t>
  </si>
  <si>
    <t>0149-1423</t>
  </si>
  <si>
    <t>1558-9153</t>
  </si>
  <si>
    <t>AAPG BULL</t>
  </si>
  <si>
    <t>AAPG Bull.</t>
  </si>
  <si>
    <t>MAR</t>
  </si>
  <si>
    <t>10.1306/11030505107</t>
  </si>
  <si>
    <t>021DN</t>
  </si>
  <si>
    <t>WOS:000235963900007</t>
  </si>
  <si>
    <t>Rocka, A</t>
  </si>
  <si>
    <t>Helminths of Antarctic fishes: Life cycle biology, specificity and geographical distribution</t>
  </si>
  <si>
    <t>ACTA PARASITOLOGICA</t>
  </si>
  <si>
    <t>Helminths; fish; biology; specificity; distribution; Antarctica</t>
  </si>
  <si>
    <t>WEDDELL SEA; CONTRACAECUM-RADIATUM; NOTOTHENIA-CORIICEPS; ELASMOBRANCH FISHES; COMPLEX NEMATODA; SOUTHERN COAST; DIGENEA; ACANTHOCEPHALA; PARASITES; ASCARIDOIDEA</t>
  </si>
  <si>
    <t>Bony fishes (Teleostei) play an important role in the completion of life cycles of helminth parasites in the Antarctica. These fishes may be definitive, second intermediate or paratenic hosts of the helminths. The most species-rich taxon is Digenea. Virtually all of these digeneans use teleosts as definitive hosts. Only one species, Otodistomum cestoides, occurs as the adult stage in skates (Chondrichthyes), with teleosts as its second intermediate host. Among 14 cestode species maturing in fishes only one, Parabothriocephalus johnstoni, occurs in a bony fish, Macrourus whitsoni, whereas the others are parasites of Chondrichthyes (cartilaginous fishes). Antarctic Chondrichthyes are not infected with nematode and acanthocephalan species. Specificity to the intermediate and/or paratenic hosts of the majority of Antarctic helminths is wide, whereas that for definitive hosts is often narrower, restricted to one order or sometimes even to one or two host species. Almost all of 73 helminth species maturing in Antarctic fishes are endemics. Only 4 digenean and one nematode species are cosmopolitan or bipolar.</t>
  </si>
  <si>
    <t>Polish Acad Sci, W Stefanski Inst Parasitol, PL-00818 Warsaw, Poland</t>
  </si>
  <si>
    <t>Polish Academy of Sciences</t>
  </si>
  <si>
    <t>Polish Acad Sci, W Stefanski Inst Parasitol, 51-55 Twarda St, PL-00818 Warsaw, Poland.</t>
  </si>
  <si>
    <t>abroccy@poczta.onet.pl</t>
  </si>
  <si>
    <t>SPRINGER INTERNATIONAL PUBLISHING AG</t>
  </si>
  <si>
    <t>CHAM</t>
  </si>
  <si>
    <t>GEWERBESTRASSE 11, CHAM, CH-6330, SWITZERLAND</t>
  </si>
  <si>
    <t>1230-2821</t>
  </si>
  <si>
    <t>1896-1851</t>
  </si>
  <si>
    <t>ACTA PARASITOL</t>
  </si>
  <si>
    <t>Acta Parasitolog.</t>
  </si>
  <si>
    <t>10.2478/s11686-006-0003-y</t>
  </si>
  <si>
    <t>Parasitology; Veterinary Sciences; Zoology</t>
  </si>
  <si>
    <t>027NW</t>
  </si>
  <si>
    <t>WOS:000236423300003</t>
  </si>
  <si>
    <t>Haranczyk, H; Pietrzyk, A; Leja, A; Olech, MA</t>
  </si>
  <si>
    <t>Bound water structure on the surfaces of Usnea antaretica as observed by NMR and sorption isotherm</t>
  </si>
  <si>
    <t>ACTA PHYSICA POLONICA A</t>
  </si>
  <si>
    <t>40th Zakopane School of Physics International Symposium</t>
  </si>
  <si>
    <t>MAY 20-25, 2005</t>
  </si>
  <si>
    <t>Zakopane, POLAND</t>
  </si>
  <si>
    <t>CONTINENTAL ANTARCTIC CRYPTOGAMS; PROTON MAGNETIC-RELAXATION; DIFFERENT HYDRATION LEVELS; PHYSIOLOGICAL INVESTIGATIONS; CLADONIA-MITIS; LICHEN THALLUS; INITIAL-STAGES; H-1-NMR; PLANTS</t>
  </si>
  <si>
    <t>Hydration courses and proton free induction decays are recorded at 30 MHz for Usnea antarctica thalli hydrated from gaseous phase. NMR data combined with gravimetry allow one to distinguish two fractions of tightly bound water, and loosely bound/free water pool. No water fraction sealed in thallus structures is present in U. antarctica.</t>
  </si>
  <si>
    <t>Jagiellonian Univ, Inst Phys, PL-30059 Krakow, Poland; Polish Acad Sci, Inst Nucl Phys, PL-31342 Krakow, Poland; Jagiellonian Univ, Inst Bot, PL-31501 Krakow, Poland</t>
  </si>
  <si>
    <t>Jagiellonian University; Polish Academy of Sciences; Institute of Nuclear Physics - Polish Academy of Sciences; Jagiellonian University</t>
  </si>
  <si>
    <t>Haranczyk, H (corresponding author), Jagiellonian Univ, Inst Phys, Reymonta 4, PL-30059 Krakow, Poland.</t>
  </si>
  <si>
    <t>hubert.haranczyk@uj.edu.pl</t>
  </si>
  <si>
    <t>Orzechowska, Aleksandra/GVS-8477-2022; Orzechowska, Aleksandra/GRX-3803-2022; Orzechowska, Aleksandra/IUQ-0979-2023</t>
  </si>
  <si>
    <t>Orzechowska, Aleksandra/0000-0002-0094-9123; Orzechowska, Aleksandra/0000-0002-0094-9123</t>
  </si>
  <si>
    <t>POLISH ACAD SCIENCES INST PHYSICS</t>
  </si>
  <si>
    <t>WARSAW</t>
  </si>
  <si>
    <t>AL LOTNIKOW 32-46, 02-668 WARSAW, POLAND</t>
  </si>
  <si>
    <t>0587-4246</t>
  </si>
  <si>
    <t>ACTA PHYS POL A</t>
  </si>
  <si>
    <t>Acta Phys. Pol. A</t>
  </si>
  <si>
    <t>10.12693/APhysPolA.109.411</t>
  </si>
  <si>
    <t>025WZ</t>
  </si>
  <si>
    <t>WOS:000236299200025</t>
  </si>
  <si>
    <t>Nicol, S</t>
  </si>
  <si>
    <t>Guest editorial - The numbers game</t>
  </si>
  <si>
    <t>10.1017/S0954102006000149</t>
  </si>
  <si>
    <t>020QA</t>
  </si>
  <si>
    <t>WOS:000235923600001</t>
  </si>
  <si>
    <t>Casaux, R; Barrera-Oro, E</t>
  </si>
  <si>
    <t>Shags in Antarctica: their feeding behaviour and ecological role in the marine food web</t>
  </si>
  <si>
    <t>Antarctic shag; diving; foraging patterns; monitoring; notothenioids; South Georgia shag</t>
  </si>
  <si>
    <t>PHALACROCORAX-CARBO-SINENSIS; BLUE-EYED SHAGS; PENGUINS PYGOSCELIS-PAPUA; SANDEEL AMMODYTES-MARINUS; SOUTH SHETLAND ISLANDS; DIVING PATTERNS; GENTOO PENGUINS; NOTOTHENIA-CORIICEPS; FORAGING BEHAVIOR; NELSON ISLAND</t>
  </si>
  <si>
    <t>Feeding behaviour, ecological role in the marine food web and population trends of the Antarctic shag Phalacrocorax bransfieldensis and the South Georgia shag P georgianus in Antarctica are analysed. The diving depths and duration recorded for these shags are the deepest and longest among all flying birds in Antarctica and match deep dives performed by small Antarctic penguins. Individual shags of both sexes partition foraging depths and food resources, which might diminish intra-specific competition. Like other sub-Antarctic shags, P. bransfieldensis and P georgianus are bottom feeders that prey predominantly on demersal fish. In the southern Scotia Arc and west Antarctic Peninsula, nototheniids.. mainly Notothenia coriiceps, constitute their main prey. Shag partners alternate the time at sea and, as the energy requirements at the nest increase, they increase the number but reduce the duration of the feeding trips. A steady declining trend in the number of breeding pairs of both species has been observed in the last decade at several Antarctic localities; this phenomenon at the South Shetland Islands might be at least partially explained by the effect of the commercial fishery oil their prey. In inshore shallow waters shags occupy the trophic niche of main predators of demersal fish and play an important ecological role as regulators of populations of particular fish prey that have marked site fidelity. The potential use of shags as biomonitors in Antarctica is discussed.</t>
  </si>
  <si>
    <t>Univ Nacl Patagonia, Lab Invest Ecol &amp; Sistemat Anim, RA-9200 Esquel, Chubut, Argentina; Consejo Nacl Invest Cient &amp; Tecn, RA-1033 Buenos Aires, DF, Argentina; Museo Argentino Ciencias Nat Bernardino Rivadavia, Div Ictiol, RA-1405 Buenos Aires, DF, Argentina; Inst Antartico Argentino, RA-1010 Buenos Aires, DF, Argentina</t>
  </si>
  <si>
    <t>Universidad Nacional de la Patagonia San Juan Bosco; Consejo Nacional de Investigaciones Cientificas y Tecnicas (CONICET); Museo Argentino de Ciencias Naturales Bernardino Rivadavia (MACN); Instituto Antartico Argentino</t>
  </si>
  <si>
    <t>Univ Nacl Patagonia, Lab Invest Ecol &amp; Sistemat Anim, Ruta 259 Km 5, RA-9200 Esquel, Chubut, Argentina.</t>
  </si>
  <si>
    <t>rcasaux@dna.gov.ar</t>
  </si>
  <si>
    <t>10.1017/S0954102006000010</t>
  </si>
  <si>
    <t>WOS:000235923600002</t>
  </si>
  <si>
    <t>Bonacci, S; Corsi, I; Focardi, S</t>
  </si>
  <si>
    <t>Cholinesterase activities in the adductor muscle of the Antarctic scallop Adamussium colbecki</t>
  </si>
  <si>
    <t>aquatic pollutants; benthos; bivalve; Cd; ChE; DFP</t>
  </si>
  <si>
    <t>BAY ROSS SEA; HUMAN SERUM BUTYRYLCHOLINESTERASE; TRACE-METAL CONCENTRATIONS; MYTILUS-GALLOPROVINCIALIS; ORGANOPHOSPHORUS PESTICIDES; CARBAMATE PESTICIDES; INHIBITION-KINETICS; ESTERASE-ACTIVITIES; MARINE ORGANISMS; RAPID ASSESSMENT</t>
  </si>
  <si>
    <t>Antarctica is regarded as one of the most pristine parts of the Earth but even this remote ecosystem is affected by contamination and high levels of certain heavy metals, such as cadmium, which may occur naturally in Antarctic waters. The bivalve scallop Adamussium colbecki is considered a key species of Antarctic benthic ecosystems and a sensitive target for bioaccumulation of xenobiotics and metals. Since cholinesterases (ChEs) in the adductor muscle of A. colbecki presumably play a prominent physiological role through regulation of swimming movements, the main aims of this study was to characterize ChE activities in adductor Muscle of A. colbecki and to investigate their sensitivity to organophosphate pesticides and heavy metals. The results suggest that an acetylcholinesterase-like enzyme in the adductor muscle of the scallop has low sensitivity to organophosphates but was significantly inhibited by exposure to cadmium.</t>
  </si>
  <si>
    <t>Univ Siena, Dept Environm Sci, I-53100 Siena, Italy</t>
  </si>
  <si>
    <t>University of Siena</t>
  </si>
  <si>
    <t>Bonacci, S (corresponding author), Univ Siena, Dept Environm Sci, Via PA Matiioli 4, I-53100 Siena, Italy.</t>
  </si>
  <si>
    <t>bonacci@unisi.it</t>
  </si>
  <si>
    <t>Bonacci, Stefano/ABI-5676-2020; Corsi, Ilaria/D-3795-2012</t>
  </si>
  <si>
    <t>Corsi, Ilaria/0000-0002-1811-3041</t>
  </si>
  <si>
    <t>10.1017/S0954102006000022</t>
  </si>
  <si>
    <t>WOS:000235923600003</t>
  </si>
  <si>
    <t>Fonseca, G; Vanreusel, A; Decraemer, W</t>
  </si>
  <si>
    <t>Taxonomy and biogeography of Molgolaimus Ditlevsen, 1921 (Nematoda: Chromadoria) with reference to the origins of deep sea nematodes</t>
  </si>
  <si>
    <t>Desmodoridae; Molgolaiminae; polytomous key; Southern Ocean</t>
  </si>
  <si>
    <t>VERTICAL-DISTRIBUTION; SPECIES-DIVERSITY; CONTINENTAL-SLOPE; MARINE NEMATODES; NE ATLANTIC; WEDDELL SEA; BIODIVERSITY; COMMUNITIES; MEIOFAUNA; PATTERNS</t>
  </si>
  <si>
    <t>Molgolaimus is a genus of free-living marine nematodes which is found in high densities (10-35% of the total community) LIP to 2000 in depth. Its occurrence is often associated with organically enriched and recently disturbed areas. Currently, only 16 species have been described, mainly from shallow waters. The present study contributes 17 new species mainly from the Weddell Sea but also from the Pacific Ocean, and provides an illustrated polytomous identification key to species level. The 33 Molgolaimus species described can be identified based on just a few morphometric features: spicule length, body length, anal body diameter, tail length and pharynx length. A first insight into the biogeography of this deep sea genus at species level is presented. A comparison of morphometric characteristics between species suggests that the most similar species co-occur in the same geographical region, rather than within the same bathymetric zones or similar ecosystems separated over long distances. These observations suggest that deep sea nematodes may not have a common origin but might have derived recently from shallow water taxa. Therefore, global distribution of nematodes could be explained by means of palacogeographical events.</t>
  </si>
  <si>
    <t>Univ Ghent, Dept Biol, Marine Biol Sect, B-9000 Ghent, Belgium; Univ Sul Santa Catarina, Lab Ciencias Marinhas, BR-88790000 Laguna, Santa Catarina, Brazil; Royal Belgian Inst Nat Sci, B-1000 Brussels, Belgium; Univ Ghent, Dept Biol, Nematol Sect, B-9000 Ghent, Belgium</t>
  </si>
  <si>
    <t>Ghent University; Universidade do Sul de Santa Catarina; Royal Belgian Institute of Natural Sciences; Ghent University</t>
  </si>
  <si>
    <t>Vanreusel, A (corresponding author), Univ Ghent, Dept Biol, Marine Biol Sect, Krijgslaan 281, B-9000 Ghent, Belgium.</t>
  </si>
  <si>
    <t>Ann.vanreusel@ugent.be</t>
  </si>
  <si>
    <t>Decraemer, Wilfrida/AAD-2639-2020; Fonseca, Gustavo/B-7673-2011</t>
  </si>
  <si>
    <t>Fonseca, Gustavo/0000-0001-8625-4279</t>
  </si>
  <si>
    <t>10.1017/S0954102006000034</t>
  </si>
  <si>
    <t>WOS:000235923600004</t>
  </si>
  <si>
    <t>Riaux-Gobin, C; Stumm, K</t>
  </si>
  <si>
    <t>Modern Archaeomonadaceae from the land-fast ice off Adelie Land, East Antarctica: a preliminary report</t>
  </si>
  <si>
    <t>Archaeomonas; Litheusphaerella; marine chrysophytes; sea ice extent; statospore-like</t>
  </si>
  <si>
    <t>CYSTS; SEA</t>
  </si>
  <si>
    <t>The land-fast ice and the platelet ice layer off Adelie Land are inhabited by a dense and diversified diatom community. Along with Bacillariophyceae, Archaeomonadaceae sensu Deflandre are present and relatively abundant. These modem siliceous nanostructures are similar to the nanofossils described by geologists in marine sediments from upper Cretaceous to Pliocene, Pleistocene and recently in Holocene and modem sediments, and are probably related to chrysophyte cysts. The two most abundant taxa were Achaeomonas cf areolata Deflandre and Litheusphaerella cf spectabilis Deflandre. The other taxa were not common. Despite the taxonomic uncertainty of immature forms, the diversity of archaeomonads was high. Three new species of Archaeomonas are described. The morphology of A. cf areolata is highly variable, showing a possible diversification over geologic time. Litheusphaerella cf spectabilis also shows some differences between fossil and modem specimens. Recent studies confirm that archaeomonads are extant in diverse marine water bodies and recent sediments. There is growing evidence that these siliceous structures represent possible reliable proxies of sea ice extent, even if their presence in geologic time is not always linked exclusively to sea ice. Further studies are needed to elucidate the exact origin of these cysts and their real taxonomic affinities.</t>
  </si>
  <si>
    <t>CNRS, Lab Oceanog Biol, F-66650 Banyuls sur Mer, France; Alfred Wegener Inst, D-27570 Bremerhaven, Germany</t>
  </si>
  <si>
    <t>Centre National de la Recherche Scientifique (CNRS); Helmholtz Association; Alfred Wegener Institute, Helmholtz Centre for Polar &amp; Marine Research</t>
  </si>
  <si>
    <t>CNRS, Lab Oceanog Biol, F-66650 Banyuls sur Mer, France.</t>
  </si>
  <si>
    <t>riaux-go@obs-banyuls.fr</t>
  </si>
  <si>
    <t>10.1017/S0954102006000046</t>
  </si>
  <si>
    <t>WOS:000235923600005</t>
  </si>
  <si>
    <t>Muir, SF; Barnes, DKA; Reid, K</t>
  </si>
  <si>
    <t>Interactions between humans and leopard seals</t>
  </si>
  <si>
    <t>curiosity; human activities; hunting techniques; predator; seal behaviour</t>
  </si>
  <si>
    <t>HYDRURGA-LEPTONYX; PRYDZ BAY; EASTERN ANTARCTICA; ADELIE PENGUINS; PREDATION; ISLAND; ENCOUNTERS; DIET</t>
  </si>
  <si>
    <t>In July 2003 Kirsty Brown, a marine biologist at Rothera Research Station (West Antarctic Peninsula), was attacked and drowned by a leopard seal (Hydrurga leptonyx). As a direct consequence, a study was initiated to analyse interactions between humans and leopard seals over the last thirty years utilising humanistic and observational data. The response of leopard seals to humans in different situations was considered using a categorical response scale. Location of the leopard seal and human had the greatest influence on the response of the leopard seal. More specifically, interactions occurring at the ice edge, where leopard seals seek out prey, resulted in the highest response from leopard seals. 'In water' interactions, examined through SCUBA dive and snorkelling logs, generally described the seal's behaviour as displaying curiosity and occurred most frequently at the surface. Although leopard seals approached close to observers and displayed behaviour that appeared aggressive, there were no records of interactions where 'curious' leopard seals showed subsequent hunting, or attack behaviour. In contrast, in most interactions (only a few occasions) where physical contact was initiated by a seal, in the form of all attack, the seal was not seen prior to the attack. Kirsty's incident is the only known account of its kind, given that physical contact occurred at the surface of the water, and the seat had not been seen prior to the attack. This suggests that the commonly cited descriptions of leopard seals interacting with humans in the water are a distinctly different behaviour to that displayed in the attack on Kirsty. Although leopard seal behaviour was generally described by divers as curious, the death of Kirsty Brown indicates that leopard seals can display predatory behaviour towards humans.</t>
  </si>
  <si>
    <t>British Antarctic Survey, NERC, High Cross,Madinglely Rd, Cambridge CB3 0ET, England.</t>
  </si>
  <si>
    <t>dkab@bas.ac.uk</t>
  </si>
  <si>
    <t>Natural Environment Research Council [bas010013, dml011000] Funding Source: researchfish; NERC [bas010013, dml011000] Funding Source: UKRI</t>
  </si>
  <si>
    <t>10.1017/S0954102006000058</t>
  </si>
  <si>
    <t>WOS:000235923600006</t>
  </si>
  <si>
    <t>Dalla Riva, S; Abelmoschi, ML; Grotti, M; Soggia, F; Bottaro, M; Vacchi, M</t>
  </si>
  <si>
    <t>The occurrence of lead in the bone tissues of Trematomus bernacchii, Terra Nova Bay, Ross Sea</t>
  </si>
  <si>
    <t>benthic fish; bio-availability; heavy metals; jaws; sediment; vertebrae</t>
  </si>
  <si>
    <t>TRACE-METALS; PB; FISH; CD; AGE; CU; ENVIRONMENT; INDICATOR; SEDIMENTS; ELEMENTS</t>
  </si>
  <si>
    <t>The occurrence of lead in various bone tissues of Trematomus bernacchii was investigated in order to identify the optimal target tissue and to examine potential relationships between bone lead concentration and fish size and age. Lead concentration values found in vertebrae and jaws (0.44 +/- 0.13 and 0.41 +/- 0.09 mu g g(-1) of dry weight tissue, respectively) were significantly higher than those in the other bones examined (otoliths, branchiostegal rays and pectoral girdles), indicating a preferential accumulation of lead in these tissues. Hence, vertebrae and jaws were selected as suitable target organs. The significance of T bernacchii as a marker of lead bio-availability for the marine environment was tested by comparing data with the ones obtained for the Scorpaena notata, a benthic fish living in the more polluted coasts of the Mediterranean Sea, and by correlating the lead content found in the fish bones with the concentration of bioavailable lead in the marine sediments on which the two fishes live. Bio-availability was evaluated by solid speciation and size fractionation techniques. All data clearly indicated that the difference in bone lead content between S. notata and T bernacchii (0.83 +/- 0.17 mu g g(-1) and 0.42 +/- 0.08 mu g g(-1), significant at the 99.9% confidence level) can be ascribed to the concentration of bio-available lead in their respective environment. Finally, no correlation between the lead accumulation in bone tissues and fish size and age was found for either fish species.</t>
  </si>
  <si>
    <t>Univ Genoa, Dept Chem &amp; Ind Chem, I-16146 Genoa, Italy; Univ Genoa, Museo Nazl Antartide, ICRAM, I-16132 Genoa, Italy</t>
  </si>
  <si>
    <t>University of Genoa; University of Genoa</t>
  </si>
  <si>
    <t>Univ Genoa, Dept Chem &amp; Ind Chem, Via Dodecaneso 31, I-16146 Genoa, Italy.</t>
  </si>
  <si>
    <t>grotti@chimica.unige.it</t>
  </si>
  <si>
    <t>Grotti, Marco/HGU-3949-2022</t>
  </si>
  <si>
    <t>Grotti, Marco/0000-0001-6956-5761; Bottaro, Massimiliano/0000-0001-7995-5288</t>
  </si>
  <si>
    <t>WOS:000235923600007</t>
  </si>
  <si>
    <t>Craven, M; Carsey, F; Nicol, S</t>
  </si>
  <si>
    <t>Short note - Ice krill under the Amery Ice Shelf, East Antarctica</t>
  </si>
  <si>
    <t>EUPHAUSIA-CRYSTALLOROPHIAS; LIFE</t>
  </si>
  <si>
    <t>Australian Antarctic Div, Hobart, Tas 7050, Australia; CRC, Antarctic Climate &amp; Ecosyst, Hobart, Tas 7001, Australia; CALTECH, Jet Prop Lab, Pasadena, CA 91109 USA</t>
  </si>
  <si>
    <t>Australian Antarctic Division; National Aeronautics &amp; Space Administration (NASA); NASA Jet Propulsion Laboratory (JPL); California Institute of Technology</t>
  </si>
  <si>
    <t>Australian Antarctic Div, Channel Highway, Hobart, Tas 7050, Australia.</t>
  </si>
  <si>
    <t>10.1017/S0954102006000071</t>
  </si>
  <si>
    <t>WOS:000235923600008</t>
  </si>
  <si>
    <t>Whitehead, JM; Quilty, PG; McKelvey, BC; O'Brien, PE</t>
  </si>
  <si>
    <t>A review of the Cenozoic stratigraphy and glacial history of the Lambert Graben-Prydz Bay region, East Antarctica</t>
  </si>
  <si>
    <t>glaciation; ice sheet; Milankovitch; Prince Charles Mountains</t>
  </si>
  <si>
    <t>PRINCE CHARLES MOUNTAINS; PLIOCENE SORSDAL FORMATION; ICE-SHEET; VESTFOLD HILLS; LARSEMANN HILLS; AMERY OASIS; DIATOM BIOSTRATIGRAPHY; PAGODROMA GROUP; SHELF; PLEISTOCENE</t>
  </si>
  <si>
    <t>The Cenozoic glacial history of East Antarctica is recorded in part by the stratigraphy of the Prydz Bay-Lambert Graben region. The glacigene strata and associated erosion surfaces record at least 10 intervals of glacial advance (with accompanying erosion and sediment compaction), and more than 17 intervals of glacial retreat (enabling open marine deposition in Prydz Bay and the Lambert Graben). The number of glacial advances and retreats is considerably less than would be expected from Milankovitch frequencies due to the incomplete stratigraphic record. Large advances of the Lambert Glacier caused progradation of the continental shelf edge. At times of extreme glacial retreat, marine conditions reached &gt; 450 km inland from the modem ice shelf edge. This review presents a partial reconstruction of Cenozoic glacial extent within Prydz Bay and the Lambert Graben that can be compared to eustatic sea-level records from the southern Australian continental margin.</t>
  </si>
  <si>
    <t>Univ Tasmania, Inst Antarctic &amp; So Ocean Studies, Hobart, Tas 7001, Australia; Univ Tasmania, Sch Earth Sci, Hobart, Tas 7001, Australia; Univ New England, Div Earth Sci, Armidale, NSW 2351, Australia; Geosci Australia, Canberra, ACT 2601, Australia</t>
  </si>
  <si>
    <t>University of Tasmania; University of Tasmania; University of New England; Geoscience Australia</t>
  </si>
  <si>
    <t>Univ Tasmania, Inst Antarctic &amp; So Ocean Studies, Private Bag 77, Hobart, Tas 7001, Australia.</t>
  </si>
  <si>
    <t>Jason.Whitehead@utas.edu.au</t>
  </si>
  <si>
    <t>O'Brien, Philip/0000-0003-3446-3292</t>
  </si>
  <si>
    <t>10.1017/S0954102006000083</t>
  </si>
  <si>
    <t>WOS:000235923600009</t>
  </si>
  <si>
    <t>Gaya-Piqué, LR; Ravat, D; De Santis, A; Torta, JM</t>
  </si>
  <si>
    <t>New model alternatives for improving the representation of the core magnetic field of Antarctica</t>
  </si>
  <si>
    <t>geomagnetic secular variation; IGRF; magnetic anomalies; spherical harmonics</t>
  </si>
  <si>
    <t>GEOMAGNETIC REFERENCE FIELD; AEROMAGNETIC ANOMALIES</t>
  </si>
  <si>
    <t>Use of the International Geomagnetic Reference Field Model (IGRF) to construct magnetic anomaly maps can lead to problems with the accurate determination of magnetic anomalies that are readily apparent at the edges of local or regional magnetic surveys carried out at different epochs. The situation is severe in areas like Antarctica, where ionospheric activity is intense and only a few ground magnetic observatories exist. This makes it difficult to properly separate from ionospheric variations the secular variation of the core magnetic field. We examine two alternatives to the piecewise-continuous IGRF core magnetic field in Antarctica for the last 45 years: the present global Comprehensive Model (CM4) and the new version of the Antarctic Reference Model (ARM). Both these continuous models are better at representing the secular variation in Antarctica than the IGRF. Therefore, their use is recommended for defining the crustal magnetic field of Antarctica (e.g. the next generation of the Antarctic Digital Magnetic Anomaly Map).</t>
  </si>
  <si>
    <t>Ist Nazl Geofis &amp; Vulcanol, I-00143 Rome, Italy; URL, CSIC, Observ Ebre, Roquetes 43520, Spain; So Illinois Univ, Dept Geol, Carbondale, IL 62901 USA</t>
  </si>
  <si>
    <t>Istituto Nazionale Geofisica e Vulcanologia (INGV); Consejo Superior de Investigaciones Cientificas (CSIC); Universitat Ramon Llull; Ebre Observatory; Southern Illinois University System; Southern Illinois University</t>
  </si>
  <si>
    <t>NASA, Goddard Space Flight Ctr, UMBC, GEST, Code 698, Greenbelt, MD 20771 USA.</t>
  </si>
  <si>
    <t>gaya@geomag.gsfc.nasa.gov</t>
  </si>
  <si>
    <t>Ravat, Dhananjay/AAY-1171-2020; Ravat, Dhananjay/AAF-5604-2020; Torta, Joan Miquel/C-7614-2014</t>
  </si>
  <si>
    <t>Ravat, Dhananjay/0000-0003-1962-4422; Ravat, Dhananjay/0000-0003-1962-4422; Torta, Joan Miquel/0000-0002-4340-7308</t>
  </si>
  <si>
    <t>10.1017/S0954102006000095</t>
  </si>
  <si>
    <t>WOS:000235923600010</t>
  </si>
  <si>
    <t>Tada, Y; Wada, H; Miura, H</t>
  </si>
  <si>
    <t>Seasonal stable oxygen isotope cycles in an Antarctic bivalve shell (Laternula elliptica):: a quantitative archive of ice melt runoff</t>
  </si>
  <si>
    <t>Antarctica; bivalve shell; meltwater; seasonality; stable oxygen isotope</t>
  </si>
  <si>
    <t>KING GEORGE ISLAND; CLIMATIC RECORD; CARBON; GROWTH; TEMPERATURE; PROFILES; MAXWELL</t>
  </si>
  <si>
    <t>Oxygen isotope ratios in the shell of a Recent Antarctic marine bivalve Laternula elliptica are shown and their potential for environmental reconstruction is discussed. The shell delta O-18 profiles of this species represent the seasonal change in melted ice water inflow. Oscillations in the shell delta O-18 values reflect seasonal change in seawater delta O-18 values, caused by an addition of meltwater in Summer. Since annual temperature variation is minimal and the inflow of the regional ice melt is the dominant control on the shell theta O-18 values, the oxygen isotope record of L. elliptica is a quantitative indicator of the palaeo-ice melting events in the Antarctic continental margin.</t>
  </si>
  <si>
    <t>Univ Tokyo, Dept Earth &amp; Planetary Sci, Bunkyo Ku, Tokyo 1130033, Japan; Shizuoka Univ, Fac Sci, Dept Biol &amp; Geosci, Suruga Ku, Shizuoka 4228529, Japan; Natl Inst Polar Res, Div Geosci, Itabashi Ku, Tokyo 1738515, Japan</t>
  </si>
  <si>
    <t>University of Tokyo; Shizuoka University; Research Organization of Information &amp; Systems (ROIS); National Institute of Polar Research (NIPR) - Japan</t>
  </si>
  <si>
    <t>Univ Tokyo, Dept Earth &amp; Planetary Sci, Bunkyo Ku, 7-3-1 Hongo, Tokyo 1130033, Japan.</t>
  </si>
  <si>
    <t>ytada@eps.s.u-tokyo.ac.jp</t>
  </si>
  <si>
    <t>10.1017/S0954102006000101</t>
  </si>
  <si>
    <t>WOS:000235923600011</t>
  </si>
  <si>
    <t>Williams, M; Smellie, JL; Johnson, JS; Blake, DB</t>
  </si>
  <si>
    <t>Late Miocene Asterozoans (Echinodermata) in the James Ross Island Volcanic Group</t>
  </si>
  <si>
    <t>fossil asterozoans; James Ross Island Volcanic Group; Late Miocene; volcanic tuffs</t>
  </si>
  <si>
    <t>DEPOSITS; FOSSILS</t>
  </si>
  <si>
    <t>Asterozoans (Echinodermata) of Late Miocene age (6.02 +/- 0.12 Ma) are preserved as external moulds in water-lain tuffs of the James Ross Island Volcanic Group (JPIVG), Jarnes Ross Island, Antarctic Peninsula. The asterozoans are complete, and appear to represent specimens suffocated after having been pinioned by rapid sedimentation on the distal fringe of an erupting sub-aqueous tuff cone. Although the coarse nature of the host sediments has obliterated the fine morphological detail of the specimens, at least one suggests evidence of entrainment by a turbidity current. A second shows evidence of detachment of the distal tip of one of its arms. In addition to fossil discoveries from glaciomarine sediments, the volcanic tuffs of the JRIVG represent a new source of fossil data that can be used to interpret the ecology and environment of the Antarctic marine shelf biota during the Neogene.</t>
  </si>
  <si>
    <t>British Antarctic Survey, NERC, Cambridge CB3 0ET, England; Univ Illinois, Dept Geol, Urbana, IL 61801 USA</t>
  </si>
  <si>
    <t>UK Research &amp; Innovation (UKRI); Natural Environment Research Council (NERC); NERC British Antarctic Survey; University of Illinois System; University of Illinois Urbana-Champaign</t>
  </si>
  <si>
    <t>Univ Portsmouth, Sch Earth &amp; Environm Sci, Burnaby Bldg,Burnaby Rd, Portsmouth PO1 3QL, Hants, England.</t>
  </si>
  <si>
    <t>Williams, Mark/B-7590-2009</t>
  </si>
  <si>
    <t>Williams, Mark/0000-0002-7987-6069; Johnson, Joanne/0000-0003-4537-4447</t>
  </si>
  <si>
    <t>NERC [bas010019] Funding Source: UKRI; Natural Environment Research Council [bas010019] Funding Source: researchfish</t>
  </si>
  <si>
    <t>10.1017/S0954102006000113</t>
  </si>
  <si>
    <t>WOS:000235923600012</t>
  </si>
  <si>
    <t>Wendt, AS; Vaughan, APM; Boyce, AJ</t>
  </si>
  <si>
    <t>Precipitation trapped in datable rock-forming minerals: estimating Antarctic palaeoelevations - a discussion</t>
  </si>
  <si>
    <t>hydrogen and oxygen isotopes; isotope fractionation; meteoric water; isotopic depletion of precipitation versus elevation</t>
  </si>
  <si>
    <t>CENTRAL TRANSANTARCTIC MOUNTAINS; OXYGEN-ISOTOPE FRACTIONATION; METAMORPHIC CORE COMPLEX; PEDOGENIC CLAY-MINERALS; DEEP FLUID CIRCULATION; HYDROGEN-ISOTOPE; METEORIC WATER; SHEAR ZONE; ATMOSPHERIC CIRCULATION; CLIMATE-CHANGE</t>
  </si>
  <si>
    <t>Meteoric water that interacted with minerals during retrogressive metamorphism and hydrothermalism in the late-stage of mountain building processes contains hydrogen and oxygen isotopes that are potential proxies for palaeoelevation reconstruction in Antarctica. The effects of temperature on meteoric isotopic signatures, meteoric crustal infiltration processes, and the mechanisms of capture and preservation of meteoric delta D and delta O-18 values in rock-forming minerals are discussed. Special emphasis is given to Antarctica's geographical high-latitude position and climatic fluctuations over time and to the highmountain ranges of continental Antarctica, which were tectonically active regions in the past. In this context, a new compilation of recent Antarctic snow and ice delta D and delta O-18 data is presented, by which we demonstrate that net elevations versus isotopic depletions are positively correlated for continental Antarctica - a prime requisite when estimating palaeoelevations.</t>
  </si>
  <si>
    <t>British Antarctic Survey, NERC, Cambridge CB3 0ET, England; Scottish Univ Res &amp; Reactor Ctr, Isotope Geol Unit, E Kilbride G75 0QU, Lanark, Scotland</t>
  </si>
  <si>
    <t>UK Research &amp; Innovation (UKRI); Natural Environment Research Council (NERC); NERC British Antarctic Survey; Scottish Universities Research &amp; Reactor Center</t>
  </si>
  <si>
    <t>Data &amp; Consulting Serv, Schlumberger POB 8013, N-4068 Stavanger, Norway.</t>
  </si>
  <si>
    <t>awendt@stavanger.oilfield.slb.com</t>
  </si>
  <si>
    <t>Boyce, Adrian/AAH-3203-2020; Vaughan, Alan PM/B-7829-2010; Boyce, Adrian J/D-2263-2010</t>
  </si>
  <si>
    <t>Boyce, Adrian/0000-0002-9680-0787; Boyce, Adrian J/0000-0002-9680-0787</t>
  </si>
  <si>
    <t>NERC [bas010006, icsf010001] Funding Source: UKRI; Natural Environment Research Council [bas010006, icsf010001] Funding Source: researchfish</t>
  </si>
  <si>
    <t>10.1017/S0954102006000125</t>
  </si>
  <si>
    <t>WOS:000235923600013</t>
  </si>
  <si>
    <t>Johnson, ES; Van Woert, ML</t>
  </si>
  <si>
    <t>Tidal currents of the Ross Sea and their time stability</t>
  </si>
  <si>
    <t>currents; mooring data; Ross Sea; tide; time series analysis</t>
  </si>
  <si>
    <t>OCEAN TIDE; BAROTROPIC TIDES</t>
  </si>
  <si>
    <t>Current measurements obtained from a sparse array of moorings on the Ross Continental Shelf during the 1980 and 90s are analysed for their tidal constituents. Diurnal (K-1 and O-1) tides are about five times stronger than semi-diurnal tides, and are strongest near the shelf break in agreement with recent model results. At some energetic locations the diurnal tides are significantly weaker at depth, presumably due to bottom friction. Complex demodulation analysis shows that at some locations the tidal response varies significantly in time. This time variability rises markedly above the noise floor expected from the spectral continuum between tidal bands, and does not scale with tidal bandwidth as would be expected of broadband noise. Further its magnitude is generally proportional to the associated tidal constituent, indicating that it is truly a varying tidal response. Space scales of this tidal instability were not resolved but are less than 150 km, while time scales appear mostly seasonal to interannual. The rms magnitude of the unstable response can be 1/3 of a given component's mean magnitude, placing substantial limits on the ability of prognostic or even data assimilative models to accurately predict these tides for any specific time period.</t>
  </si>
  <si>
    <t>Earth &amp; Space Res, Seattle, WA 98102 USA; Natl Sci Fdn, Off Polar Programs, Arlington, VA 22230 USA</t>
  </si>
  <si>
    <t>National Science Foundation (NSF); NSF - Directorate for Geosciences (GEO); NSF - Office of Polar Programs (OPP)</t>
  </si>
  <si>
    <t>Johnson, ES (corresponding author), Earth &amp; Space Res, 1910 Fairview Ave E Suite 210, Seattle, WA 98102 USA.</t>
  </si>
  <si>
    <t>ejohnson@esr.org</t>
  </si>
  <si>
    <t>10.1017/S0954102006000137</t>
  </si>
  <si>
    <t>WOS:000235923600014</t>
  </si>
  <si>
    <t>Terauds, A; Gales, R; Baker, GB; Alderman, R</t>
  </si>
  <si>
    <t>Foraging areas of black-browed and grey-headed albatrosses breeding on Macquarie Island in relation to marine protected areas</t>
  </si>
  <si>
    <t>AQUATIC CONSERVATION-MARINE AND FRESHWATER ECOSYSTEMS</t>
  </si>
  <si>
    <t>black-browed albatrosses; grey-headed albatrosses; marine protected areas; Macquarie Island</t>
  </si>
  <si>
    <t>SOUTHERN ELEPHANT SEALS; LONGLINE FISHERY; MORTALITY; SEABIRDS; EXPLOITATION; MANAGEMENT; AUSTRALIA; VESSELS; OCEAN</t>
  </si>
  <si>
    <t>1. Although marine protected areas (MPAs) are often established to protect threatened top-order predators, there is a paucity of data that can be used to evaluate their efficacy in achieving this purpose. 2. We assessed the effectiveness of a network of MPAs around Macquarie Island in the Southern Ocean by examining the foraging areas of breeding black-browed Thalassarche melanophrys and grey-headed albatrosses T. chrysostoma. 3. During late incubation and brood periods over 90% of time spent foraging by black-browed albatrosses was contained within MPAs, principally the Economic Exclusion Zone (EEZ) around Macquarie Island. In contrast, grey-headed albatrosses spent only 34% of their time foraging in MPAs. 4. Black-browed and grey-headed albatrosses spent 30% and 15% of their respective foraging times in the Marine Park around Macquarie Island. 5. Both black-browed and grey-headed albatrosses foraged in Antarctic waters under the jurisdiction of the Convention for the Conservation of Antarctic Marine Living Resources (CCAMLR), accounting For 5% and 12%, of the total foraging times respectively. 6. The spatial extent of MPAs around Macquarie Island appear to adequately cover much of the foraging distribution of breeding black-browed albatrosses from Macquarie Island. 7. Breeding grey-headed albatrosses spend significantly more time in waters outside the spatial extent of the surrounding MPAs and are at higher risk from fisheries activities and other threats. 8. Further information on the foraging movements both of albatrosses outside the breeding season and of juvenile albatrosses is required to more fully assess the efficacy of MPAs in protecting foraging habitats of these species. Copyright (c) 2005 John Wiley &amp; Sons, Ltd.</t>
  </si>
  <si>
    <t>Nat Conservat Branch, Dept Primary Ind Water &amp; Environm, Hobart, Tas 7000, Australia; Univ Tasmania, Sandy Bay, Tas 7005, Australia; Australian Antarctic Div, Kingston, Tas 7050, Australia</t>
  </si>
  <si>
    <t>Terauds, A (corresponding author), Nat Conservat Branch, Dept Primary Ind Water &amp; Environm, POB 44, Hobart, Tas 7000, Australia.</t>
  </si>
  <si>
    <t>Aleks.Terauds@dpiwe.tas.gov.au</t>
  </si>
  <si>
    <t>Terauds, Aleks/A-4991-2010</t>
  </si>
  <si>
    <t>Terauds, Aleks/0000-0001-7804-6648; Baker, G. Barry/0000-0003-4766-8182</t>
  </si>
  <si>
    <t>1052-7613</t>
  </si>
  <si>
    <t>1099-0755</t>
  </si>
  <si>
    <t>AQUAT CONSERV</t>
  </si>
  <si>
    <t>Aquat. Conserv.-Mar. Freshw. Ecosyst.</t>
  </si>
  <si>
    <t>MAR-APR</t>
  </si>
  <si>
    <t>10.1002/aqc.709</t>
  </si>
  <si>
    <t>Environmental Sciences; Marine &amp; Freshwater Biology; Water Resources</t>
  </si>
  <si>
    <t>Environmental Sciences &amp; Ecology; Marine &amp; Freshwater Biology; Water Resources</t>
  </si>
  <si>
    <t>028TX</t>
  </si>
  <si>
    <t>WOS:000236512800003</t>
  </si>
  <si>
    <t>Krankowski, A; Shagimuratov, II</t>
  </si>
  <si>
    <t>Krankowski, Andrzej; Shagimuratov, Irk I.</t>
  </si>
  <si>
    <t>IMPACT OF TEC FLUCTUATIONS IN THE ANTARCTIC IONOSPHERE ON GPS POSITIONING</t>
  </si>
  <si>
    <t>ARTIFICIAL SATELLITES-JOURNAL OF PLANETARY GEODESY</t>
  </si>
  <si>
    <t>ionosphere; TEC; geomagnetic storms; phase fluctuation; GPS; ambiguity resolution</t>
  </si>
  <si>
    <t>With increasing reliance on space-based platforms for global navigation and communication, concerns about the impact of ionospheric scintillation and total electron content fluctuations on these systems have became a high priority. In this paper, GPS transionospheric signals have been used to study the development of ionospheric phase fluctuations observed at Antarctic IGS permanent stations: McMurdo-MCM4, Casey-CAS1, Mawson-MAW1, Sanae-VESL, Syowa-SYOG and Davis-DAV1 in 2001. The use of the multi-station, multi-path observations of the GPS beacons has allowed the study of the time development of irregularities as a function of latitude and longitude of individual geomagnetic storms. The basic storms studied were those of March 19-20, March 31, April 9-11, June 1617, and September 23, 2001. The rate of TEC (ROT) parameter was used to study the occurrence of TEC fluctuations. The results from studying these storms showed the unique nature of each storm. For the above five storms, data were available from three auroral stations (VESL, SYOG and MAW1) and from 61 degrees to 70 degrees Corrected Geomagnetic Latitude (CGL). In addition, data from three higher latitude polar stations (DAV1, MCM4 and CAS1) near 800 CGL are also analysed. Fluctuation effects, causing dramatic changes in total electron content - TEC, can have a different impact on GPS positioning accuracy (especially during phase ambiguity resolution). Bernese ver. 4.2 software was used for the analysis of the GPS permanent data from Antarctic IGS stations. The analyses rely on studying the repeatability of vector co-ordinates. These vectors were investigated during the geomagnetic storms when the intensity of TEC fluctuations was more pronounced. The impact of TEC fluctuations in the high latitude ionosphere on GPS positioning accuracy has been discussed in terms of the total number of observations of double-differences (DD) and in the ratio of the total number of all ambiguities to unresolved ones.</t>
  </si>
  <si>
    <t>[Krankowski, Andrzej] Univ Warmia &amp; Mazury, Inst Geodesy, Oczapowski St 1, PL-10957 Olsztyn, Poland; [Shagimuratov, Irk I.] WD IZMIRAN, Kaliningrad, Russia</t>
  </si>
  <si>
    <t>University of Warmia &amp; Mazury; Institute of Geodesy &amp; Cartography; Russian Academy of Sciences; Pushkov Institute of Terrestrial Magnetism, Ionosphere &amp; Radio Wave Propagation</t>
  </si>
  <si>
    <t>Krankowski, A (corresponding author), Univ Warmia &amp; Mazury, Inst Geodesy, Oczapowski St 1, PL-10957 Olsztyn, Poland.</t>
  </si>
  <si>
    <t>kand@uwm.edu.pl</t>
  </si>
  <si>
    <t>Polish State Committee for Scientific Research [5T12E 033 23]</t>
  </si>
  <si>
    <t>Polish State Committee for Scientific Research(Polish State Committee for Scientific Research)</t>
  </si>
  <si>
    <t>These studies have been supported by grant 5T12E 033 23 of the Polish State Committee for Scientific Research.</t>
  </si>
  <si>
    <t>POLISH ACAD SCIENCES, SPACE RESEARCH CENTER</t>
  </si>
  <si>
    <t>UL BARTYCKA 18A, WARSAW, 00716, POLAND</t>
  </si>
  <si>
    <t>0208-841X</t>
  </si>
  <si>
    <t>2083-6104</t>
  </si>
  <si>
    <t>ARTIF SATELL</t>
  </si>
  <si>
    <t>Artif. Satell.</t>
  </si>
  <si>
    <t>10.2478/v10018-007-0005-5</t>
  </si>
  <si>
    <t>V99TG</t>
  </si>
  <si>
    <t>WOS:000213488700005</t>
  </si>
  <si>
    <t>Harangozo, SA; Connolley, WM</t>
  </si>
  <si>
    <t>The role of the atmospheric circulation in the record minimum extent of open water in the Ross Sea in the 2003 austral summer</t>
  </si>
  <si>
    <t>ATMOSPHERE-OCEAN</t>
  </si>
  <si>
    <t>SOUTH-PACIFIC; WEDDELL SEA; ICE MOTION; EL-NINO; ANTARCTICA; WINTER; BELLINGSHAUSEN; ICEBERG; POLYNYA; IMPACT</t>
  </si>
  <si>
    <t>The contribution of the atmospheric circulation to a record minimum extent of open water in the polar Ross Sea (RS) region in the 2003 austral summer is examined. Two major findings are reached in this study. The first is that the origins of this anomaly are more complex than previously thought, with an anomalous atmospheric circulation contributing at least as much to the lack of open water as damming of sea ice by a large iceberg known as C-19. Only in the western RS, where C-19 lay, is damming found to restrict open water in the spring of 2002 (October-December), but even here the coldest spring in the last 15 years extended the sea-ice formation season. Elsewhere in the RS the divergent northward ice drift that normally occurs widely reversed to southward in early spring and was then followed by negligible ice motion. The most anomalous springtime ice drift occurred in the central and eastern RS rather than near C-19 and was mirrored in the weakest southerly winds on record in central areas. The unusual southward ice drift in early spring 2002 caused widespread convergence and compaction of the normally thin and undeformed first-year ice along and north of the central and eastern Ross Ice Shelf (RIS). Compacted ice with few leads would have been slow to melt in the warmest summer (January-February) months. Direct observations also indicate that sea surface temperatures (SSTs) rapidly fell to freezing in the central and western RS in February 2003 supporting new ice formation. All the available data indicate these were due to the cold spring and the extensive, compact ice cover in the late spring of 2002 and in January 2003 preventing most of the incoming solar radiation from reaching the ocean. The second finding is that the sea ice in the summer of 2003 would have been very extensive even if C-19 had not occurred. this is based on the comparisons with other years of extensive summer ice, notably one when no large iceberg had occurred. Ice motion and atmospheric circulation patterns in this case resembled those in the spring of 2002 and the summer of 2003. Evidence that the anomalous atmospheric circulation in the RS in the spring of 2002 was typical of El Nino events is also discussed.</t>
  </si>
  <si>
    <t>Harangozo, SA (corresponding author), British Antarctic Survey, NERC, High Cross,Madingley Rd, Cambridge CB3 0ET, England.</t>
  </si>
  <si>
    <t>sah@bas.ac.uk</t>
  </si>
  <si>
    <t>CMOS-SCMO</t>
  </si>
  <si>
    <t>BOX 3211, STATION D, OTTAWA, ON K1P 6H7, CANADA</t>
  </si>
  <si>
    <t>0705-5900</t>
  </si>
  <si>
    <t>1480-9214</t>
  </si>
  <si>
    <t>ATMOS OCEAN</t>
  </si>
  <si>
    <t>Atmos.-Ocean</t>
  </si>
  <si>
    <t>10.3137/ao.440106</t>
  </si>
  <si>
    <t>Meteorology &amp; Atmospheric Sciences; Oceanography</t>
  </si>
  <si>
    <t>030WY</t>
  </si>
  <si>
    <t>WOS:000236667300007</t>
  </si>
  <si>
    <t>Low, M</t>
  </si>
  <si>
    <t>The energetic cost of mate guarding is correlated with territorial intrusions in the New Zealand stitchbird</t>
  </si>
  <si>
    <t>BEHAVIORAL ECOLOGY</t>
  </si>
  <si>
    <t>body weight; energetic cost; forced copulation; mate guarding; reproductive cost; sexual conflict; sperm competition</t>
  </si>
  <si>
    <t>EXTRA-PAIR PATERNITY; SPERM COMPETITION; FORCED COPULATION; REPRODUCTIVE SUCCESS; FEMALE RESISTANCE; TRADE-OFF; SIZE; HIHI; BEHAVIOR; MALES</t>
  </si>
  <si>
    <t>Male stitchbirds (hihi) Notiomystis cincta attempt to minimize paternity losses by engaging in intense mate guarding centered on the fertile period of their social mate. While this strategy is directed at preventing intruding extrapair males from successfully achieving forced copulation with their female, it is likely to be energetically costly because of the large amount Of time Spent chasing intruders. In this study, I measured the energetic cost Of mate guarding by recording the daily body weight of 28 breeding male stitchbirds during first! clutch attempts and used a classification and regression tree (CART) analysis to assess the relationship between their weight fluctuations and (1) measures of mate-guarding intensity, (2) the total duration of extrapair male intrusions into their territory, (3) the age of the focal male, (4) the local population density, and (5) proximity to supplementary food. The CART model divided resident males into two groups based oil the level of intrusions by extrapair males. For the low-intruder group, resident males maintained a stable weight during their female's fertile period, whereas, for the high-intruder group, males lost an average 4.3% of their body weight, with their weights reaching a minimum On days -1 and 0 relative to the date of first egg lay This pattern of weight loss mirrored the pattern of extrapair territorial intrusions into the focal male's territory. While the costs of harassment associated With forced extrapair Copulation have previously focused oil females, this study shows that. these costs call also be significant for the resident male.</t>
  </si>
  <si>
    <t>Massey Univ, Ecol Grp, Palmerston North, New Zealand</t>
  </si>
  <si>
    <t>Australian Antarctic Div, So Ocean Ecosyst Program, 203 Channel Highway, Kingston, Tas 7050, Australia.</t>
  </si>
  <si>
    <t>Low, Matthew/D-2292-2013</t>
  </si>
  <si>
    <t>Low, Matthew/0000-0002-7345-6063</t>
  </si>
  <si>
    <t>OXFORD UNIV PRESS INC</t>
  </si>
  <si>
    <t>CARY</t>
  </si>
  <si>
    <t>JOURNALS DEPT, 2001 EVANS RD, CARY, NC 27513 USA</t>
  </si>
  <si>
    <t>1045-2249</t>
  </si>
  <si>
    <t>1465-7279</t>
  </si>
  <si>
    <t>BEHAV ECOL</t>
  </si>
  <si>
    <t>Behav. Ecol.</t>
  </si>
  <si>
    <t>10.1093/beheco/arj025</t>
  </si>
  <si>
    <t>Behavioral Sciences; Biology; Ecology; Zoology</t>
  </si>
  <si>
    <t>Behavioral Sciences; Life Sciences &amp; Biomedicine - Other Topics; Environmental Sciences &amp; Ecology; Zoology</t>
  </si>
  <si>
    <t>014AS</t>
  </si>
  <si>
    <t>WOS:000235451700016</t>
  </si>
  <si>
    <t>Yu, Y; Cai, XM</t>
  </si>
  <si>
    <t>Yu, Ye; Cai, Xiao-Ming</t>
  </si>
  <si>
    <t>Structure and dynamics of katabatic flow jumps: Idealised simulations</t>
  </si>
  <si>
    <t>BOUNDARY-LAYER METEOROLOGY</t>
  </si>
  <si>
    <t>Antarctica; entrainment process; gravity waves; hydraulic theory; katabatic jump; Regional Atmospheric Modeling System (RAMS)</t>
  </si>
  <si>
    <t>ATMOSPHERIC BOUNDARY-LAYER; INTERNAL GRAVITY-WAVES; GREENLAND ICE-SHEET; ADELIE LAND; WIND REGIME; COATS LAND; ANTARCTICA; MODEL; SHELF; MOMENTUM</t>
  </si>
  <si>
    <t>For the first time, results from a high-resolution numerical simulation (with horizontal grid spacing of 35m) were used to reveal the detailed structure near an atmospheric katabatic jump over an idealized slope. The simulation represents flow over the slopes of Coats Land, Antarctica for austral winter conditions. The katabatic jump is characterised by an updraft with vertical velocities of order 1ms(-1) and serves as a possible forcing mechanism for the gravity waves frequently observed over the ice shelves around the Antarctic. Results also indicate that strong turbulence is generally confined within a mixing zone near the top of the katabatic layer upstream of the jump and extends downstream through the top of the strong updraft associated with the jump. Detailed analyses of momentum and heat budgets across the katabatic jump indicate that, upstream of the jump, turbulent mixing is important in decelerating the upper part of the katabatic layer, while within the jump the upslope pressure gradient force associated with the pool of cold air plays a role in decelerating the flow near the surface. The heat budget near the jump reveals a simple two-term balance: the turbulent heat flux divergence is balanced by the advection. A comparison of model results with available theories indicates that mixing between layers of different potential temperature structure indeed plays some role in the development of katabatic flow jumps, especially for strong jumps. Theories used to study katabatic jumps should include this mixing process, of which the amount depends on the intensity of the jump. A conceptual model of a katabatic jump, including the main dynamical processes, is constructed from these detailed analyses.</t>
  </si>
  <si>
    <t>Univ Birmingham, Sch Geog Earth &amp; Environm Sci, Birmingham B15 2TT, W Midlands, England</t>
  </si>
  <si>
    <t>University of Birmingham</t>
  </si>
  <si>
    <t>Cai, XM (corresponding author), Univ Birmingham, Sch Geog Earth &amp; Environm Sci, Birmingham B15 2TT, W Midlands, England.</t>
  </si>
  <si>
    <t>x.cai@bham.ac.uk</t>
  </si>
  <si>
    <t>Cai, Xiaoming/M-8248-2015</t>
  </si>
  <si>
    <t>Cai, Xiaoming/0000-0002-5934-9800</t>
  </si>
  <si>
    <t>0006-8314</t>
  </si>
  <si>
    <t>1573-1472</t>
  </si>
  <si>
    <t>BOUND-LAY METEOROL</t>
  </si>
  <si>
    <t>Bound.-Layer Meteor.</t>
  </si>
  <si>
    <t>10.1007/s10546-005-6433-5</t>
  </si>
  <si>
    <t>065GT</t>
  </si>
  <si>
    <t>WOS:000239148500006</t>
  </si>
  <si>
    <t>Barnes, I; Hjorth, J; Mihalopoulos, N</t>
  </si>
  <si>
    <t>Dimethyl sulfide and dimethyl sulfoxide and their oxidation in the atmosphere</t>
  </si>
  <si>
    <t>CHEMICAL REVIEWS</t>
  </si>
  <si>
    <t>GAS-PHASE REACTIONS; SEA-SALT SULFATE; TEMPERATURE-DEPENDENT KINETICS; FT-IR PRODUCT; MARINE BOUNDARY-LAYER; COASTAL ANTARCTIC AEROSOL; OH-INITIATED OXIDATION; METHANE SULFONIC-ACID; CL ATOMS; RATE CONSTANTS</t>
  </si>
  <si>
    <t>Berg Univ Wuppertal, FB C Phys Chem, D-42119 Wuppertal, Germany; Commiss European Communities, Joint Res Ctr, Inst Environm &amp; Sustainabil, I-21020 Ispra, VA, Italy; Univ Crete, Environm Chem Proc Lab, Iraklion 71409, Greece</t>
  </si>
  <si>
    <t>University of Wuppertal; European Commission Joint Research Centre; EC JRC ISPRA Site; University of Crete</t>
  </si>
  <si>
    <t>Berg Univ Wuppertal, FB C Phys Chem, Gauss Str 20, D-42119 Wuppertal, Germany.</t>
  </si>
  <si>
    <t>Mihalopoulos, Nikolaos/ABF-2255-2020; Mihalopoulos, Nikolaos/H-5327-2016</t>
  </si>
  <si>
    <t>Mihalopoulos, Nikolaos/0000-0002-1282-0896; Hjorth, Jens/0000-0002-7276-7871</t>
  </si>
  <si>
    <t>0009-2665</t>
  </si>
  <si>
    <t>1520-6890</t>
  </si>
  <si>
    <t>CHEM REV</t>
  </si>
  <si>
    <t>Chem. Rev.</t>
  </si>
  <si>
    <t>10.1021/cr020529+</t>
  </si>
  <si>
    <t>021XI</t>
  </si>
  <si>
    <t>WOS:000236018800007</t>
  </si>
  <si>
    <t>Snape, I; Ferguson, SH; Harvey, PM; Riddle, MJ</t>
  </si>
  <si>
    <t>Investigation of evaporation and biodegradation of fuel spills in Antarctica: II - Extent of natural attenuation at Casey Station</t>
  </si>
  <si>
    <t>GC-FID; fingerprinting; petroleum hydrocarbons; special Antarctic blend; diesel; weathering</t>
  </si>
  <si>
    <t>MARINE-SEDIMENTS; PETROLEUM; SOILS; HYDROCARBONS; OIL</t>
  </si>
  <si>
    <t>In many temperate regions, fuel and oil spills are sometimes managed simply by allowing natural degradation to occur, while monitoring soils and groundwater to ensure that there is no off-site migration or on-site impact. To critically assess whether this approach is suitable for coastal Antarctic sites, we investigated the extent of evaporation and biodegradation at three old fuel spills at Casey Station. Where the contaminants migrated across frozen ground, probably beneath snow, approximately half the fuel evaporated in the first few months prior to infiltration at the beginning of summer. Once in the ground, however, evaporation rates were negligible. In contrast, minor spills from fuel drums buried in an abandoned waste disposal site did not evaporate to the same extent. Biodegradation within all three spill sites is generally very minor. We conclude that natural attenuation is not a suitable management strategy for fuel-contaminated soils in Antarctic coastal regions. (c) 2005 Published by Elsevier Ltd.</t>
  </si>
  <si>
    <t>Australian Antarctic Div, Human Impacts Res, Kingston, Tas 7050, Australia</t>
  </si>
  <si>
    <t>Snape, I (corresponding author), Australian Antarctic Div, Human Impacts Res, Channel Highway, Kingston, Tas 7050, Australia.</t>
  </si>
  <si>
    <t>ian.snape@aad.gov.au</t>
  </si>
  <si>
    <t>10.1016/j.chemosphere.2005.07.040</t>
  </si>
  <si>
    <t>032NQ</t>
  </si>
  <si>
    <t>WOS:000236781700012</t>
  </si>
  <si>
    <t>Sun, S; Bleck, R</t>
  </si>
  <si>
    <t>Multi-century simulations with the coupled GISS-HYCOM climate model: control experiments</t>
  </si>
  <si>
    <t>ANTARCTIC CIRCUMPOLAR CURRENT; ONE-DIMENSIONAL MODEL; SEA-ICE; THERMOHALINE CIRCULATION; OCEAN MODEL; SYSTEM MODEL; EL-NINO; TRANSPORT; HEAT; ATMOSPHERE</t>
  </si>
  <si>
    <t>Multi-century climate simulations obtained with the GISS atmospheric general circulation model coupled to the hybrid-isopycnic ocean model HYCOM are described. Greenhouse gas concentrations are held fixed in these experiments to investigate the coupled model's ability to reproduce the major features of today's climate with minimal drift. Emphasis is placed on the realism of the oceanic general circulation and its effect on air-sea exchange processes. Several model runs using different closures for turbulent vertical exchange as well as improvements to reduce vertical numerical diffusion are compared with climate observations. As in previous studies, the Southern Ocean emerges as the Achilles Heel of the ocean model; deficiencies in its physical representation had far-reaching consequences in early experiments with the coupled model and have provided the strongest impetus for model improvement. The overarching goal of this work is to add diversity to the pool of ocean models available for climate prediction and thereby reduce biases that may stand in the way of assessing climate prediction uncertainty.</t>
  </si>
  <si>
    <t>NASA, Goddard Inst Space Studies, New York, NY 10025 USA; Los Alamos Natl Lab, Los Alamos, NM USA</t>
  </si>
  <si>
    <t>National Aeronautics &amp; Space Administration (NASA); NASA Goddard Space Flight Center; Goddard Institute for Space Studies; United States Department of Energy (DOE); Los Alamos National Laboratory</t>
  </si>
  <si>
    <t>NASA, Goddard Inst Space Studies, New York, NY 10025 USA.</t>
  </si>
  <si>
    <t>ssun@giss.nasa.gov; rbleck@giss.nasa.gov</t>
  </si>
  <si>
    <t>Bleck, Rainer/AAQ-2905-2021; Sun, Shan/H-2318-2015</t>
  </si>
  <si>
    <t>Bleck, Rainer/0000-0001-7387-4620;</t>
  </si>
  <si>
    <t>10.1007/s00382-005-0091-7</t>
  </si>
  <si>
    <t>011ZG</t>
  </si>
  <si>
    <t>WOS:000235307400005</t>
  </si>
  <si>
    <t>Kanzow, T; Send, U; Zenk, W; Chave, AD; Rhein, M</t>
  </si>
  <si>
    <t>Monitoring the integrated deep meridional flow in the tropical North Atlantic: Long-term performance of a geostrophic array</t>
  </si>
  <si>
    <t>geostrophic transport; time series; bottom pressure; density; meridional overturning circulation</t>
  </si>
  <si>
    <t>ANTARCTIC CIRCUMPOLAR CURRENT; WESTERN BOUNDARY CURRENT; 26.5 DEGREES N; THERMOHALINE CIRCULATION; OCEAN; TRANSPORT; VARIABILITY</t>
  </si>
  <si>
    <t>As a component of the meridional overturning variability experiment in the tropical North Atlantic, a four-year-long time series of meridional transport of North Atlantic deep water has been obtained from moored end point measurements of density and bottom pressure. This study presents a quality assessment of the measurement elements. Rigorous pre- and post- deployment in situ calibration of the density sensors and subsequent data processing establish an accuracy of O(1.5 Sv) in internal transport in the 1200-5000 dbar range at subinertial time scales. A similar accuracy is reached in the bottom pressure-derived external transport fluctuations. However, for pressure, variability with periods longer than a deployment's duration (presently about one year) is not measurable. This effect is demonstrated using numerical simulations and a possible solution for detecting long-term external transport changes is presented. (c) 2006 Elsevier Ltd. All rights reserved.</t>
  </si>
  <si>
    <t>Leibniz Inst Meereswissenschaf, D-24105 Kiel, Germany; Natl Oceanog Ctr, Southampton SO14 3ZH, Hants, England; Univ Calif San Diego, Scripps Inst Oceanog, La Jolla, CA 92093 USA; Woods Hole Oceanog Inst, Woods Hole, MA 02543 USA; Inst Umweltphys, D-28334 Bremen, Germany</t>
  </si>
  <si>
    <t>NERC National Oceanography Centre; University of California System; University of California San Diego; Scripps Institution of Oceanography; Woods Hole Oceanographic Institution; University of Bremen</t>
  </si>
  <si>
    <t>Leibniz Inst Meereswissenschaf, Dusternbrooker Weg 20, D-24105 Kiel, Germany.</t>
  </si>
  <si>
    <t>tok@noc.soton.ac.uk</t>
  </si>
  <si>
    <t>; Rhein, Monika/P-1969-2016</t>
  </si>
  <si>
    <t>Chave, Alan/0000-0002-2460-1172; Kanzow, Torsten/0000-0002-5786-3435; Rhein, Monika/0000-0003-1496-2828</t>
  </si>
  <si>
    <t>Natural Environment Research Council [NER/T/S/2002/00481, soc010001] Funding Source: researchfish; NERC [soc010001] Funding Source: UKRI</t>
  </si>
  <si>
    <t>10.1016/j.dsr.2005.12.007</t>
  </si>
  <si>
    <t>037TE</t>
  </si>
  <si>
    <t>WOS:000237169200008</t>
  </si>
  <si>
    <t>Ma, YF; Wang, L; Shao, ZZ</t>
  </si>
  <si>
    <t>Pseudomonas, the dominant polycyclic aromatic hydrocarbon-degrading bacteria isolated from Antarctic soils and the role of large plasmids in horizontal gene transfer</t>
  </si>
  <si>
    <t>POLYMERASE-CHAIN-REACTION; NAPHTHALENE DIOXYGENASE; ALPINE SOILS; ADAPTATION; OIL; BIODEGRADATION; CONTAMINATION; FUEL; MICROORGANISMS; DEGRADATION</t>
  </si>
  <si>
    <t>Twenty-two polycyclic aromatic hydrocarbon (PAH)-degrading bacterial strains were isolated from Antarctic soils with naphthalene or phenanthrene as a sole carbon source, while no degrader was obtained from an unpolluted sampling site. Phylogenetic analysis showed that all belonged to the genus Pseudomonas except one that was identified as the genus of Rahnella. Some of them were closely related to previously reported cold-tolerant species, while some were separated in deeply rooted branches and represent new strains. All these strains showed a high efficiency to degrade naphthalene at 4 degrees C, and some additionally degraded phenanthrene. Using degenerate primers and polymerase chain reaction (PCR) amplification, ndo gene encoding naphthalene dioxygenase (NDO) was detected from all the isolates. Phylogenetic analysis grouped these genes into two clusters which shared 94% similarity to each other, and showed about 97% similarity within a cluster. However, no obvious difference was observed with mesophilic ndo genes; this indicates that the host cell is pivotal in cold adaptation. In addition, the mismatch between 16S rRNA and NDO phylogenetic trees strongly indicates horizontal gene transfer among these isolates and may have happened in situ. Further, Southern hybridization and plasmid curing confirmed that ndo genes were located on a large self-transmissible plasmid, which can be transferred to a mesophilic strains. The transconjugants acquired the ability to utilize naphthalene and phenanthrene. Results of this article imply that Pseudomonas plays an important role in PAH biodegradation in Antarctic soils, and the related genes might be originally transferred from outside Antarctica and spread among indigenous species.</t>
  </si>
  <si>
    <t>State Ocean Adm, Inst Oceanog 3, Key Lab Marine Biogenet Resources, Xiamen 361005, Fujian, Peoples R China</t>
  </si>
  <si>
    <t>Third Institute of Oceanography, Ministry of Natural Resources</t>
  </si>
  <si>
    <t>State Ocean Adm, Inst Oceanog 3, Key Lab Marine Biogenet Resources, Xiamen 361005, Fujian, Peoples R China.</t>
  </si>
  <si>
    <t>shaozz@163.com</t>
  </si>
  <si>
    <t>Shao, Zongze/T-6682-2017; Ma, Yingfei/A-6245-2011</t>
  </si>
  <si>
    <t>Shao, Zongze/0000-0002-4784-090X;</t>
  </si>
  <si>
    <t>10.1111/j.1462-2920.2005.00911.x</t>
  </si>
  <si>
    <t>012ID</t>
  </si>
  <si>
    <t>WOS:000235330900009</t>
  </si>
  <si>
    <t>dos Santos, IR; Silva, EV; Schaefer, C; Sella, SM; Silva, CA; Gomes, V; Passos, MJDCR; Ngan, PV</t>
  </si>
  <si>
    <t>Baseline mercury and zinc concentrations in terrestrial and coastal organisms of Admiralty Bay, Antarctica</t>
  </si>
  <si>
    <t>ENVIRONMENTAL POLLUTION</t>
  </si>
  <si>
    <t>biomagnification; bioaccumulation; baseline studies; Antarctic; Ferraz Station</t>
  </si>
  <si>
    <t>NORTHERN VICTORIA LAND; KING-GEORGE ISLAND; HEAVY-METALS; TRACE-METALS; BIOMAGNIFICATION; DEPOSITION; SEABIRDS; LAGOON; BIOACCUMULATION; SEDIMENTS</t>
  </si>
  <si>
    <t>This paper provides the first quantitative information on mercury in soil, coastal sediment, and in characteristic organisms of terrestrial and shallow coastal marine ecosystems from Admiralty Bay (King George Island, Antarctica). As expected for a remote area, mercury content is low in abiotic components of the ecosystem, and probably similar to natural levels. Mercury also occurs in very low concentrations in the vegetation, invertebrates and fish. These low mercury levels may be due to sulphide formation in reducing sediments of this environment. Higher concentrations of mercury occurred in bird feathers and mammal hair, indicating biomagnification. This was not found for Zinc. These results may be useful as a reference background to detect future inputs of trace elements in this remote area of the earth. Terrestrial vegetation and bird feathers are suggested as target regional biomonitors. (c) 2005 Elsevier Ltd. All rights reserved.</t>
  </si>
  <si>
    <t>Univ Fed Fluminense, Dept Geoquim, BR-24020007 Niteroi, RJ, Brazil; Univ Fed Vicosa, Dept Solos, BR-36570000 Vicosa, MG, Brazil; Univ Fed Fluminense, Dept Quim Analit, BR-24020007 Niteroi, RJ, Brazil; Univ Sao Paulo, Inst Oceanog, BR-05508900 Sao Paulo, Brazil</t>
  </si>
  <si>
    <t>Universidade Federal Fluminense; Universidade Federal de Vicosa; Universidade Federal Fluminense; Universidade de Sao Paulo</t>
  </si>
  <si>
    <t>Univ Fed Fluminense, Dept Geoquim, BR-24020007 Niteroi, RJ, Brazil.</t>
  </si>
  <si>
    <t>geoemma@vm.uff.br</t>
  </si>
  <si>
    <t>Silva-Filho, Emmanoel V/D-4902-2015; Schaefer, Carlos Ernesto/AAY-4977-2020; da Silva Filho, Emmanoel Vieira/Y-7281-2019; Santos, Isaac R./A-3960-2019; Sella, Silvia M/D-2204-2015; Gomes, Vicente/C-5880-2015</t>
  </si>
  <si>
    <t>da Silva Filho, Emmanoel Vieira/0000-0001-6444-6851; Santos, Isaac R./0000-0003-0524-842X; Ernesto Goncalves Reynaud Schaefer, Carlos/0000-0001-7060-1598; Gomes, Vicente/0000-0001-8201-2301; Ernesto Goncalves Reynaud Schaefer, Carlos/0000-0001-5735-3227</t>
  </si>
  <si>
    <t>0269-7491</t>
  </si>
  <si>
    <t>1873-6424</t>
  </si>
  <si>
    <t>ENVIRON POLLUT</t>
  </si>
  <si>
    <t>Environ. Pollut.</t>
  </si>
  <si>
    <t>10.1016/j.envpol.2005.07.007</t>
  </si>
  <si>
    <t>009ST</t>
  </si>
  <si>
    <t>WOS:000235133700012</t>
  </si>
  <si>
    <t>Tornero, V; Borrell, A; Aguilar, A; Forcada, J; Lockyer, C</t>
  </si>
  <si>
    <t>Organochlorine contaminant and retinoid levels in blubber of common dolphins (Delphinus delphis) off northwestern Spain</t>
  </si>
  <si>
    <t>retinoids; common dolphin; organochlorine; blubber; biomarker</t>
  </si>
  <si>
    <t>BOTTLE-NOSED DOLPHINS; SEAL HALICHOERUS-GRYPUS; VITAMIN-A PHYSIOLOGY; POLYCHLORINATED-BIPHENYLS; FRACTIONS THEREOF; MARINE MAMMALS; PHOCA-VITULINA; GREY SEALS; 2,3,7,8-TETRACHLORODIBENZO-P-DIOXIN; TOXICITY</t>
  </si>
  <si>
    <t>The effect of age, sex, nutritive condition and organochlorine concentration on blubber retinoid concentrations was examined in 74 common dolphins incidentally caught off northwestern Spain. Age and blubber lipid content were strong determinants of the retinoid concentrations in males, while these variables did not account for the variation found in females. Retinoids were positively correlated with organochlorines in males and negatively in females. However, pollution levels were moderate and likely to be below threshold levels above that a toxicological response is to be expected. Thus, a cause-effect relationship between organochlorine and retinoid concentrations could not be properly established, and the observed correlation may be the result of an independent association of the two variables with age. Further research on the influence of the best predictor variables on retinoid dynamics is required to implement the use of retinoids as biomarkers of pollutant exposure in cetaceans. (c) 2005 Elsevier Ltd. All rights reserved.</t>
  </si>
  <si>
    <t>Univ Barcelona, Fac Biol, Dept Anim Biol Vertebrated, Barcelona 08071, Spain; British Antarctic Survey, NERC, Div Biol Sci, Cambridge CB3 0ET, England; Age Dynam, DK-2800 Lyngby, Denmark</t>
  </si>
  <si>
    <t>University of Barcelona; UK Research &amp; Innovation (UKRI); Natural Environment Research Council (NERC); NERC British Antarctic Survey</t>
  </si>
  <si>
    <t>Shanghai Univ Sci &amp; Technol, Coll Sci, 516 Jungong Rd, Shanghai 200093, Peoples R China.</t>
  </si>
  <si>
    <t>victoriatornero@ub.edu</t>
  </si>
  <si>
    <t>Vivia, Ariel/JAO-4693-2023; Aguilar, Alex/L-1283-2014; Borrell, Asunción/B-8257-2009; Tornero, Victoria/GPP-1018-2022</t>
  </si>
  <si>
    <t>Aguilar, Alex/0000-0002-5751-2512; Borrell, Asunción/0000-0002-6714-0724; Tornero, Victoria/0000-0002-1265-551X</t>
  </si>
  <si>
    <t>10.1016/j.envpol.2005.07.006</t>
  </si>
  <si>
    <t>WOS:000235133700013</t>
  </si>
  <si>
    <t>Corsolini, S; Covaci, A; Ademollo, N; Focardi, S; Schepens, P</t>
  </si>
  <si>
    <t>Occurrence of organochlorine pesticides (OCPs) and their enantiomeric signatures, and concentrations of polybrominated diphenyl ethers (PBDEs) in the Adelie penguin food web, Antarcticae</t>
  </si>
  <si>
    <t>biomagnification; Antarctic organisms; polybrominated diphenyl ethers; enantiomeric fractions; organochlorine pesticides; Adelie penguin; Antarctic krill; emerald rockcod</t>
  </si>
  <si>
    <t>PERSISTENT ORGANIC POLLUTANTS; BROMINATED FLAME RETARDANTS; POLYCHLORINATED-BIPHENYLS PCBS; ALPHA-HEXACHLOROCYCLOHEXANE; ENANTIOSELECTIVE DETERMINATION; GAS-CHROMATOGRAPHY; MASS-SPECTROMETRY; TROPHIC LEVELS; NORTH-SEA; CHLORDANE</t>
  </si>
  <si>
    <t>Concentrations and enantiomeric signatures of organochlorine pesticides were determined in Antarctic krill, emerald rockcod and Adelie penguin from the Ross Sea, Antarctica. HCB and DDTs were prevalent contaminants in penguin eggs. The highest concentrations of Sigma HCHs (1.35 +/- 0.72 ng/g) were found in the rockcod muscle, where gamma-HCH (1.23 +/- 0.67 ng/g) was the principal isomer. The ratio gamma-HCH/alpha-HCH was evaluated. Enantioselective gas chromatography was used for the evaluation of enantiomeric fractions (EFs) for alpha-HCH and oxychlordane. An increase of 14% in the (+)alpha-HCH enantiomer was found from krill through penguin, suggesting the enantioselective biotrasforrnation increased proportionately with trophic level. Polybrominated diphenyl ethers (PBDEs) were measured and their concentrations were 5.6 +/- 1.12, 5.81 +/- 2.32, 4.57 +/- 0.17 and 3.06 +/- 3.27 ng/g lipids in krill, rockcod muscle, rockcod homogenate and penguin eggs, respectively. The detection of BDE28, BDE47, BDE99 and BDE100 in Antarctic organisms confirmed their global transport and distribution; the detection of lower brominated congeners suggested a potential long-range transport. (c) 2005 Elsevier Ltd. All rights reserved.</t>
  </si>
  <si>
    <t>Univ Siena, Dept Environm Sci G Sarfatti, I-53100 Siena, Italy; Univ Instelling Antwerp, Toxicol Ctr, B-2610 Antwerp, Belgium</t>
  </si>
  <si>
    <t>University of Siena; University of Antwerp</t>
  </si>
  <si>
    <t>Corsolini, S (corresponding author), Univ Siena, Dept Environm Sci G Sarfatti, Via PA Mattioli 4, I-53100 Siena, Italy.</t>
  </si>
  <si>
    <t>corsolini@unisi.it</t>
  </si>
  <si>
    <t>Corsolini, Simonetta/B-9460-2012; ademollo, nicoletta/AAY-4811-2020; Covaci, Adrian/A-9058-2008</t>
  </si>
  <si>
    <t>Corsolini, Simonetta/0000-0002-9772-2362; Covaci, Adrian/0000-0003-0527-1136; Ademollo, nicoletta/0000-0002-1875-6530</t>
  </si>
  <si>
    <t>10.1016/j.envpol.2005.04.039</t>
  </si>
  <si>
    <t>WOS:000235133700019</t>
  </si>
  <si>
    <t>Geiger, M; Schweigert, G</t>
  </si>
  <si>
    <t>Toarcian-Kimmeridgian depositional cycles of the south-western Morondava Basin along the rifted continental margin of Madagascar</t>
  </si>
  <si>
    <t>FACIES</t>
  </si>
  <si>
    <t>Madagascar; Gondwana; post-breakup; Jurassic; T-R cycles</t>
  </si>
  <si>
    <t>EAST PACIFIC RISE; SEA-LEVEL CHANGES; STRATIGRAPHICAL EVOLUTION; JURASSIC SUCCESSION; SEDIMENTARY CYCLES; KAROO SUPERGROUP; HISTORY; CONSTRAINTS; BREAKUP; AFRICA</t>
  </si>
  <si>
    <t>After rifting and final breakup of Gondwana along the former East-African-Antarctic Orogen during the Toarcian-Aalenian, passive margins formed around the Proto-Indian Ocean. Sedimentological and stratigraphic studies in the southern Morondava Basin contribute to an improved reconstruction of palaeoenvironmental changes during the syn-rift and post-rift margin formation. Depositional models based on outcrop and literature data in combination with subsurface data sets provide a stratigraphic framework of four transgressive-regressive (T-R) cycles. The incorporation of stratal architecture models derived from seismic images is essential. After a syn-breakup T-R cycle (T-R1), the post-breakup succession commenced with a Bajocian - Early Bathonian carbonate platform (T2). Middle-Late Bathonian sandstones (R2) formed when a global sea-level fall forced the shoreline to move basinward. Incised valleys and palaeokarst known from seismic lines are typical for forced regression cycles. In the Early Callovian again a widespread transgression occurs (T3). During a short regressive phase from the Late Callovian(?) to Early Oxfordian (R3), the siliciclastic shoreface deposits prograded onto the shelf. From the Early Oxfordian onwards a transgressive trend continued (T4). T1-T3 can be explained as the response to the structural development of the breakup rifting but they follow sea-level changes observed in other parts of the world. R3 and T4, in contrast, reflect eustacy.</t>
  </si>
  <si>
    <t>Univ Bremen, Dept Geosci, D-28334 Bremen, Germany; Staatliches Museum Naturkunde, D-70191 Stuttgart, Germany</t>
  </si>
  <si>
    <t>Geiger, M (corresponding author), Univ Bremen, Dept Geosci, POB 330440, D-28334 Bremen, Germany.</t>
  </si>
  <si>
    <t>geigerm@uni-bremen.de</t>
  </si>
  <si>
    <t>0172-9179</t>
  </si>
  <si>
    <t>1612-4820</t>
  </si>
  <si>
    <t>Facies</t>
  </si>
  <si>
    <t>10.1007/s10347-005-0039-8</t>
  </si>
  <si>
    <t>Geology; Paleontology</t>
  </si>
  <si>
    <t>021BC</t>
  </si>
  <si>
    <t>WOS:000235956400006</t>
  </si>
  <si>
    <t>Phoenix, VR; Bennett, PC; Engel, AS; Tyler, SW; Ferris, FG</t>
  </si>
  <si>
    <t>Phoenix, V. R.; Bennett, P. C.; Engel, A. S.; Tyler, S. W.; Ferris, F. G.</t>
  </si>
  <si>
    <t>Chilean high-altitude hot-spring sinters: a model system for UV screening mechanisms by early Precambrian cyanobacteria</t>
  </si>
  <si>
    <t>GEOBIOLOGY</t>
  </si>
  <si>
    <t>ULTRAVIOLET-RADIATION; SOLAR ULTRAVIOLET; EL-TATIO; ANTARCTIC CYANOBACTERIA; SURFACE BLOOMS; PILBARA BLOCK; LIGHT; PHOTOSYNTHESIS; OXYGEN; GROWTH</t>
  </si>
  <si>
    <t>Before the build-up of stratospheric ozone, Archean and early Proterozoic phototrophs existed in an environment subjected to highly elevated levels of ultraviolet (UV) radiation. Therefore, phototrophic life would have required a protective habitat that balanced UV attenuation and photosynthetically active radiation (PAR) transmission. Here we report on aspects of the phototroph geomicrobiology of El Tatio geothermal field, located at 4300 m in the Andes Mountains of northern Chile (22 S), as an analogue system to early Precambrian environments. El Tatio microbes survive in a geochemical environment of rapidly precipitating amorphous silica (sinter) and unusually high solar radiation (including elevated UV-B flux) due to the high-altitude, low-latitude location. Cyanobacteria produce 10-mm-thick surface mats containing filaments encased in amorphous silica matrices up to 5 mu m thick. Relative radiation absorbance of these silica matrices was UV-C &gt; UV-B &gt; UV-A &gt; PAR, suggesting the silica provides a significant UV shield to the cyanobacteria. Cyanobacteria also occur in cryptoendolithic communities 1-10 mm below siliceous sinter surfaces, and in siliceous stromatolites, where viable cyanobacteria are found at least similar to 10 mm below the sinter surface. UV-B was dramatically attenuated within similar to 1 mm of the sinter surface, whereas UV-C (a frequency range absent today but present in the early Precambrian) was attenuated even more efficiently. PAR was attenuated the least, and minimum PAR levels required for photosynthesis penetrated 5-10 mm into the sinter. Thus, a favourable niche occurs between approximately 1-10 mm in siliceous sinters where there is a balance between PAR transmission and UV attenuation. These deposits also would have strongly attenuated Archean and early Precambrian levels of UV and thus, by analogy, cyanobacteria of early Precambrian shallow aquatic environments, inhabiting silicified biofilms and silica stromatolites, would have similarly been afforded protection against high-intensity UV radiation.</t>
  </si>
  <si>
    <t>[Bennett, P. C.] Univ Texas Austin, Dept Geol Sci, Austin, TX USA; [Engel, A. S.] Louisiana State Univ, Dept Geol &amp; Geophys, Baton Rouge, LA 70803 USA; [Tyler, S. W.] Univ Nevada, Dept Geol Sci &amp; Engn, Reno, NV 89557 USA; [Tyler, S. W.] Univ Nevada, Dept Nat Resources &amp; Environm Sci, Reno, NV 89557 USA; [Phoenix, V. R.] Univ Toronto, Dept Geol, Toronto, ON M5S 1A1, Canada</t>
  </si>
  <si>
    <t>University of Texas System; University of Texas Austin; Louisiana State University System; Louisiana State University; Nevada System of Higher Education (NSHE); University of Nevada Reno; Nevada System of Higher Education (NSHE); University of Nevada Reno; University of Toronto</t>
  </si>
  <si>
    <t>Phoenix, VR (corresponding author), Univ Glasgow, Dept Geog &amp; Earth Sci, Gregory Bldg, Glasgow, Lanark, Scotland.</t>
  </si>
  <si>
    <t>v.phoenix@ges.gla.ac.uk</t>
  </si>
  <si>
    <t>Engel, Annette Summers/GNM-8161-2022; Phoenix, Vernon/J-8871-2014</t>
  </si>
  <si>
    <t>Engel, Annette Summers/0000-0003-2469-744X; Phoenix, Vernon/0000-0002-8682-5200</t>
  </si>
  <si>
    <t>National Science Foundation [EAR0085576]; Natural Science and Engineering Research Council (NSERC) of Canada; Ontario Premier's Research Excellence; Geology Foundation of the Jackson School of Geosciences</t>
  </si>
  <si>
    <t>National Science Foundation(National Science Foundation (NSF)); Natural Science and Engineering Research Council (NSERC) of Canada(Natural Sciences and Engineering Research Council of Canada (NSERC)); Ontario Premier's Research Excellence; Geology Foundation of the Jackson School of Geosciences</t>
  </si>
  <si>
    <t>We thank Kitty Milliken and John Lansdown for analytical support, and Suzanne Pierce for analytical and logistical support. This work was supported by a National Science Foundation award (EAR0085576) to PCB, and Natural Science and Engineering Research Council (NSERC) of Canada and Ontario Premier's Research Excellence awards to FGF. Travel to Chile was supported in part by the Geology Foundation of the Jackson School of Geosciences.</t>
  </si>
  <si>
    <t>1472-4677</t>
  </si>
  <si>
    <t>1472-4669</t>
  </si>
  <si>
    <t>Geobiology</t>
  </si>
  <si>
    <t>10.1111/j.1472-4669.2006.00063.x</t>
  </si>
  <si>
    <t>Biology; Environmental Sciences; Geosciences, Multidisciplinary</t>
  </si>
  <si>
    <t>Life Sciences &amp; Biomedicine - Other Topics; Environmental Sciences &amp; Ecology; Geology</t>
  </si>
  <si>
    <t>V06CQ</t>
  </si>
  <si>
    <t>WOS:000207172100003</t>
  </si>
  <si>
    <t>Glatz, RE; Lepp, PW; Ward, BB; Francis, CA</t>
  </si>
  <si>
    <t>Glatz, R. E.; Lepp, P. W.; Ward, B. B.; Francis, C. A.</t>
  </si>
  <si>
    <t>Planktonic microbial community composition across steep physical/chemical gradients in permanently ice-covered Lake Bonney, Antarctica</t>
  </si>
  <si>
    <t>MCMURDO DRY VALLEY; ARCHAEAL ASSEMBLAGES; BACTERIA; DIVERSITY; PHYTOPLANKTON; ABUNDANCE; DYNAMICS; FRYXELL; LEGACY; OASIS</t>
  </si>
  <si>
    <t>Lake Bonney is a chemically stratified, permanently ice-covered Antarctic lake that is unusual because anomalous nutrient concentrations in the east lobe suggest that denitrification occurs in the deep suboxic waters of the west lobe but not the east lobe, resulting in high concentrations of nitrate and nitrite below the east lobe chemocline. Environmental factors that usually control denitrification rates (e.g. organic carbon, nitrate, oxygen) do not appear to explain the nitrate distribution in the east lobe, suggesting that other factors (e.g. trace metals, salts, microbial community structure, etc.) may be involved. In order to explore the potential importance of microbial community composition, samples collected from multiple depths in both lobes were compared on the basis of 16S rRNA gene diversity. 16S rRNA polymerase chain reaction (PCR) clone libraries generated from five depths were subjected to restriction fragment length polymorphism (RFLP), rarefaction, statistical and phylogenetic analyses. Bacterial and archaeal 16S rRNA gene sequences were determined for clones corresponding to unique RFLP patterns. The bacterial community below the chemocline (at 25 m) in the east lobe was the least diverse of the five depths analysed and was compositionally distinct from the communities of the overlying waters. The greatest compositional overlap was observed between 16 and 19 m in the east lobe, while the east lobe at 25 m and the west lobe at 13 and 16 m had relatively distinct communities. Despite very little compositional overlap between the suboxic, hypersaline depths of the east and west lobes (25 m and 16 m, respectively), sequences closely related to the denitrifying Marinobacter strain ELB17 previously isolated from the east lobe were found in both libraries. Most of the Lake Bonney sequences are fairly distinct from those reported from other Antarctic environments. Archaeal 16S rRNA genes were only successfully amplified from the two hypersaline depths analysed, with only one identical halophilic sequence type occurring in both libraries, indicating extremely low archaeal diversity. Overall, microbial community composition varies both between lobes and across depths within lobes in Lake Bonney, reflecting the steep gradients in physical/chemical parameters across the chemocline, as well as the anomalous nutrient chemistry of the system.</t>
  </si>
  <si>
    <t>[Glatz, R. E.; Francis, C. A.] Stanford Univ, Dept Geol &amp; Environm Sci, Stanford, CA 94305 USA; [Lepp, P. W.] Minot State Univ, Dept Biol, Minot, ND 58707 USA; [Ward, B. B.] Princeton Univ, Dept Geosci, Princeton, NJ 08544 USA</t>
  </si>
  <si>
    <t>Stanford University; Princeton University</t>
  </si>
  <si>
    <t>Francis, CA (corresponding author), Stanford Univ, Dept Geol &amp; Environm Sci, Stanford, CA 94305 USA.</t>
  </si>
  <si>
    <t>caf@stanford.edu</t>
  </si>
  <si>
    <t>Francis, Christopher/0000-0001-7557-631X</t>
  </si>
  <si>
    <t>NSF-OPP [9817617]; NSF Postdoctoral Research Fellowship in Microbial Biology [0102106]; NSF Graduate Research Fellowship; Stanford Graduate Fellowship; School of Earth Sciences at Stanford University; Div Of Biological Infrastructure; Direct For Biological Sciences [0102106] Funding Source: National Science Foundation; Office of Polar Programs (OPP); Directorate For Geosciences [9817617] Funding Source: National Science Foundation</t>
  </si>
  <si>
    <t>NSF-OPP(National Science Foundation (NSF)); NSF Postdoctoral Research Fellowship in Microbial Biology; NSF Graduate Research Fellowship(National Science Foundation (NSF)); Stanford Graduate Fellowship(Stanford University); School of Earth Sciences at Stanford University(Stanford University); Div Of Biological Infrastructure; Direct For Biological Sciences(National Science Foundation (NSF)NSF - Directorate for Biological Sciences (BIO)); Office of Polar Programs (OPP); Directorate For Geosciences(National Science Foundation (NSF)NSF - Directorate for Geosciences (GEO))</t>
  </si>
  <si>
    <t>We thank Karen Casciotti for providing nitrate and nitrite data from 2000 for West Lake Bonney. This research was supported in part by an NSF-OPP grant to B. B. W. (grant no. 9817617) and an NSF Postdoctoral Research Fellowship in Microbial Biology to C. A. F. (grant no. 0102106). R. Glatz was supported by an NSF Graduate Research Fellowship, a Stanford Graduate Fellowship, and a McGee Grant from the School of Earth Sciences at Stanford University.</t>
  </si>
  <si>
    <t>10.1111/j.1472-4669.2006.00057.x</t>
  </si>
  <si>
    <t>WOS:000207172100006</t>
  </si>
  <si>
    <t>Mader, HM; Pettitt, ME; Wadham, JL; Wolff, EW; Parkes, RJ</t>
  </si>
  <si>
    <t>Subsurface ice as a microbial habitat</t>
  </si>
  <si>
    <t>ice; glacier; water veins; bacteria; eukaryote; bacterial habitat</t>
  </si>
  <si>
    <t>WATER-VEIN SYSTEM; LAKE VOSTOK; SP-NOV; MICROORGANISMS; IMPURITIES; SULFATE; RECORD; CORE</t>
  </si>
  <si>
    <t>We determine the physicochemical habitat for microorganisms in subsurface terrestrial ice by quantitatively constraining the partitioning of bacteria and fluorescent beads (1-10 mu m) between the solid ice crystals and the water-filled veins and boundaries around individual ice crystals. We demonstrate experimentally that the partitioning of spherical particles within subsurface ice depends strongly on size but is largely independent of source particle concentration. Although bacteria are shown consistently to partition to the veins, larger particles, which would include eukaryotic cells, become trapped in the crystals with little potential for continued metabolism. We also calculate the expected concentrations of soluble impurities in the veins for typical bulk concentrations found in natural ice. These calculations and scanning electron microscope observations demonstrate a concentrated chemical environment (3.5 M total ions at -10 degrees C) in the veins, where bacteria were found to reside, with a mixture of impurities that could sustain metabolism. Our calculations show that typical bacterial cells in glacial ice would fit within the narrow veins, which are a few micrometers across. These calculations are confirmed by microscopic images of spherical, 1.9-mu m-diameter, fluorescent beads and stained bacteria in subsurface veins. Typical bacterial concentrations in clean ice (10(2)-10(3) cells/mL) would result in concentrations of 10(6)-10(8) cells/mL of vein fluid, but occupy only a small fraction of the total available vein volume (&lt; 0.2%). Hence, bacterial populations are not limited by vein volume, with the bulk of the vein being unoccupied and available to supply energy sources and nutrients.</t>
  </si>
  <si>
    <t>Univ Bristol, Dept Earth Sci, Bristol BS8 1RJ, Avon, England; Univ Bristol, Sch Geog Sci, Bristol BS8 1SS, Avon, England; British Antarctic Survey, NERC, Cambridge CB3 0ET, England</t>
  </si>
  <si>
    <t>University of Bristol; University of Bristol; UK Research &amp; Innovation (UKRI); Natural Environment Research Council (NERC); NERC British Antarctic Survey</t>
  </si>
  <si>
    <t>Univ Bristol, Dept Earth Sci, Wills Mem Bldg,Queens Rd, Bristol BS8 1RJ, Avon, England.</t>
  </si>
  <si>
    <t>Wolff, Eric W/D-7925-2014; Wadham, Jemma L/A-8352-2012; Wadham, Jemma L/G-3138-2014; Parkes, Ronald/B-1731-2010</t>
  </si>
  <si>
    <t>Wolff, Eric W/0000-0002-5914-8531; Parkes, Ronald/0000-0001-9402-5943</t>
  </si>
  <si>
    <t>10.1130/G22096.1</t>
  </si>
  <si>
    <t>021CB</t>
  </si>
  <si>
    <t>WOS:000235959300012</t>
  </si>
  <si>
    <t>Cheng, H; Edwards, RL; Wan, YJ; Ko, XG; Ming, YF; Kelly, MJ; Wang, XF; Gallup, CD; Liu, WG</t>
  </si>
  <si>
    <t>A penultimate glacial monsoon record from Hulu Cave and two-phase glacial terminations</t>
  </si>
  <si>
    <t>Hulu Cave; penultimate glacial; Termination II; Asian Monsoon; speleothem records; Chinese interstadials</t>
  </si>
  <si>
    <t>CLIMATE VARIABILITY; ICE-CORE; SCALE; DURATION; HISTORY; PERIODS; CYCLE</t>
  </si>
  <si>
    <t>Oxygen isotope records of three stalagmites from Hulu Cave, China, extend the previous high-resolution absolute-dated Hulu Asian Monsoon record from the last to the penultimate glacial and deglacial periods. The penultimate glacial monsoon broadly follows orbitally induced insolation variations and is punctuated by at least 16 millennial-scale events. We confirm a Weak Monsoon Interval between 135.5 +/- 1.0 and 129.0 +/- 1.0 ka, prior to the abrupt increase in monsoon intensity at Asian Monsoon Termination II. Based on correlations with both marine ice-rafted debris and atmospheric CH4 records, we demonstrate that most of marine Termination II, the full rise in Antarctic temperature and atmospheric CO2, and much of the rise in CH4 occurred within the Weak Monsoon Interval, when the high northern latitudes were probably cold. From these relationships and similar relationships observed for Termination 1, we identify a two-phase glacial termination process that was probably driven by orbital forcing in both hemispheres, affecting the atmospheric hydrological cycle, and combined with ice sheet dynamics.</t>
  </si>
  <si>
    <t>Univ Minnesota, Dept Geol &amp; Geophys, Minneapolis, MN 55455 USA; Nanjing Normal Univ, Coll Geog Sci, Nanjing 210097, Peoples R China; Univ Minnesota, Dept Geol Sci, Duluth, MN 55812 USA; Univ Minnesota, Large Lakes Observ, Duluth, MN 55812 USA; Chinese Acad Sci, Inst Earth Environm, Xian 710054, Peoples R China</t>
  </si>
  <si>
    <t>University of Minnesota System; University of Minnesota Twin Cities; Nanjing Normal University; University of Minnesota System; University of Minnesota Duluth; University of Minnesota System; University of Minnesota Duluth; Chinese Academy of Sciences; Institute of Earth Environment, CAS</t>
  </si>
  <si>
    <t>Cheng, H (corresponding author), Univ Minnesota, Dept Geol &amp; Geophys, Minneapolis, MN 55455 USA.</t>
  </si>
  <si>
    <t>cheng021@umn.edu</t>
  </si>
  <si>
    <t>Liu, Weiguo/J-1824-2014; Edwards, R. Lawrence/I-3124-2014; CHENG, HAI/H-3413-2017; Edwards, Richard/JAX-3732-2023; Wang, Xianfeng/F-1233-2014</t>
  </si>
  <si>
    <t>CHENG, HAI/0000-0002-5305-9458; Wang, Xianfeng/0000-0002-8614-5627</t>
  </si>
  <si>
    <t>GEOLOGICAL SOC AMERICA, INC</t>
  </si>
  <si>
    <t>10.1130/G22289.1</t>
  </si>
  <si>
    <t>WOS:000235959300024</t>
  </si>
  <si>
    <t>Blagoveshchensky, DV; Sergeeva, MA; Vystavnoi, VM</t>
  </si>
  <si>
    <t>Blagoveshchensky, D. V.; Sergeeva, M. A.; Vystavnoi, V. M.</t>
  </si>
  <si>
    <t>Effects of substorms during HF propagation in the auroral oval</t>
  </si>
  <si>
    <t>IONOSPHERIC STORMS; PATHS; ZONE</t>
  </si>
  <si>
    <t>The specific features of radio propagation from the viewpoint of physics of processes in the polar ionosphere have been studied in the present work based on the oblique-incidence sounding of the ionosphere (OISI) on the St. Petersburg-Belyi Nos (Amderma) polar radio path during substorm activity in the summer months of 1997. The OISI data were used to find the following parameters: maximum observable frequency during signal reflection from the E-s layer (Es MOF), maximum observable frequency during signal reflection from the F-2 layer (F2MOF), and lowest observable frequencies for the E-s and F-2 layers (EsLOF and F2LOF, respectively). Absolute MOF and LOF values were also found out. The total number of received rays was determined in addition to the above parameters. Isolated substorms against a quiet background were selected for the studies. These substorms resulted in substantial changes in the ionospheric radio channel and propagation conditions along the path. The results of the studies are as follows. (1) The following distinct regularities in the HF propagation along the path have been determined: (i) the range of operational frequencies Delta = MOF-LOF becomes substantially narrower during substorms; (ii) the radio propagation mechanism changes during a substorm; (iii) during substorms, the auroral absorption substantially and partially increases in the course of the expansion and recovery phases, respectively; (iv) multiray effect sharply increases at the beginning of the substorm active phase (T-0). (2) The indications of changes in the radio propagation parameters, which can possibly be used to predict the beginning of substorm development, have been formulated. (3) All revealed regularities in the HF propagation in the auroral zone have been explained from the geophysical viewpoint. It is important to use these regularities to organize radio communication and to solve the problems within the scope of the Space Weather Program.</t>
  </si>
  <si>
    <t>State Univ Aerosp Instrument Making, GUAP, St Petersburg, Russia; Russian Acad Sci, Arctic &amp; Antarctic Res Inst, AANII, St Petersburg 199397, Russia</t>
  </si>
  <si>
    <t>Saint Petersburg State University of Aerospace Instrumentation; Arctic &amp; Antarctic Research Institute; Russian Academy of Sciences</t>
  </si>
  <si>
    <t>Blagoveshchensky, DV (corresponding author), State Univ Aerosp Instrument Making, GUAP, St Petersburg, Russia.</t>
  </si>
  <si>
    <t>10.1134/S0016793206020058</t>
  </si>
  <si>
    <t>140RS</t>
  </si>
  <si>
    <t>WOS:000244524800005</t>
  </si>
  <si>
    <t>Reid, JE; Pfaffling, A; Vrbancich, J</t>
  </si>
  <si>
    <t>Airborne electromagnetic footprints in 1D earths</t>
  </si>
  <si>
    <t>SEA-ICE THICKNESS; INTEGRAL-EQUATIONS; SYSTEM</t>
  </si>
  <si>
    <t>Existing estimates of footprint size for airborne electromagnetic (AEM) systems have been based largely Oil the inductive limit of the response. We present calculations of frequency-domain, AEM-footprint sizes in infinite-horizontal, thin-sheet, and half-space models for the case of finite frequency and conductivity. In a half-space the original definition of the footprint is extended to be the side length of the cube with its top centered below the transmitter that contains the induced Currents responsible for 90% of the secondary field measured at the receiver. For a horizontal, coplanar helicopter frequency-domain system, the in-phase footprint for induction numbers less than 0.4 (thin sheet) or less than 0.6 (half-space) increases from around 3.7 times the flight height at the inductive limit to more than 10 times the flight height. For a vertical-coaxial system the half-space footprint exceeds nine times the flight height for induction numbers less than 0.09. For all models, geometries, and frequencies, the quadrature footprint is approximately half to two-thirds that of the in-phase footprint. These footprint estimates are Supported by 3D model calculations that Suggest resistive targets must be separated by the footprint dimension for their individual anomalies to be resolved completely. Analysis of frequency-domain AEM field data acquired for antarctic sea-ice thickness measurements Supports the existence of a smaller footprint for the quadrature component in comparison with the in-phase, but the effect is relatively weak. In-phase and quadrature footprints estimated by comparing AEM to drillhole data are considerably smaller than footprints from ID and 3D calculations. However, we consider the footprints estimated directly from field data unreliable since they are based on a drillhole data set that did not adequately define the true, 3D, sea-ice thickness distribution around the AEM flight line.</t>
  </si>
  <si>
    <t>Univ Tasmania, Sch Earth Sci, Hobart, Tas 7001, Australia; Alfred Wegener Inst Polar &amp; Marine Res, Div Climate Phys, D-27515 Bremerhaven, Germany; Def Sci &amp; Technol Org, Maritime Operat Div, Pyrmont, NSW 2009, Australia</t>
  </si>
  <si>
    <t>University of Tasmania; Helmholtz Association; Alfred Wegener Institute, Helmholtz Centre for Polar &amp; Marine Research; Defence Science &amp; Technology</t>
  </si>
  <si>
    <t>Reid, JE (corresponding author), Univ Tasmania, Sch Earth Sci, Private Bag 79, Hobart, Tas 7001, Australia.</t>
  </si>
  <si>
    <t>james.reid@utas.edu.au; apfaffling@awi-bremerhaven.de; julian.vrbancich@dsto.defence.gov.au</t>
  </si>
  <si>
    <t>G63</t>
  </si>
  <si>
    <t>G72</t>
  </si>
  <si>
    <t>10.1190/1.2187756</t>
  </si>
  <si>
    <t>029DW</t>
  </si>
  <si>
    <t>WOS:000236539700016</t>
  </si>
  <si>
    <t>Powell, RD; DeConto, RM; Pollard, D</t>
  </si>
  <si>
    <t>A new Antarctic project will drill into the frozen southern continent to uncover its climate secrets.</t>
  </si>
  <si>
    <t>No Illinois Univ, Geol &amp; Environm Geosci Dept, De Kalb, IL 60115 USA; Univ Massachusetts, Dept Geosci, Amherst, MA 01003 USA; Penn State Univ, EMS Earth &amp; Environm Syst Inst, University Pk, PA 16802 USA</t>
  </si>
  <si>
    <t>Northern Illinois University; University of Massachusetts System; University of Massachusetts Amherst; Pennsylvania Commonwealth System of Higher Education (PCSHE); Pennsylvania State University; Pennsylvania State University - University Park</t>
  </si>
  <si>
    <t>022MA</t>
  </si>
  <si>
    <t>WOS:000236058700016</t>
  </si>
  <si>
    <t>Forcada, J; Trathan, PN; Reid, K; Murphy, EJ; Croxall, JP</t>
  </si>
  <si>
    <t>Contrasting population changes in sympatric penguin species in association with climate warming</t>
  </si>
  <si>
    <t>air temperature; climate warming; GAMMs; population decline; population dynamics; pygoscelid penguins; sea ice extent; South Orkney Islands</t>
  </si>
  <si>
    <t>SOUTH-ORKNEY ISLANDS; SEA-ICE EXTENT; ANTARCTIC CIRCUMPOLAR WAVE; CHINSTRAP PENGUINS; ADELIE PENGUINS; REPRODUCTIVE SUCCESS; ENVIRONMENTAL-CHANGE; EUPHAUSIA-SUPERBA; OCEAN CLIMATE; KRILL</t>
  </si>
  <si>
    <t>Climate warming and associated sea ice reductions in Antarctica have modified habitat conditions for some species. These include the congeneric Adelie, chinstrap and gentoo penguins, which now demonstrate remarkable population responses to regional warming. However, inconsistencies in the direction of population changes between species at different study sites complicate the understanding of causal processes. Here, we show that at the South Orkney Islands where the three species breed sympatrically, the less ice-adapted gentoo penguins increased significantly in numbers over the last 26 years, whereas chinstrap and Adelie penguins both declined. These trends occurred in parallel with regional long-term warming and significant reduction in sea ice extent. Periodical warm events, with teleconnections to the tropical Pacific, caused cycles in sea ice leading to reduced prey biomass, and simultaneous interannual population decreases in the three penguin species. With the loss of sea ice, Adelie penguins were less buffered against the environment, their numbers fluctuated greatly and their population response was strong and linear. Chinstrap penguins, considered to be better adapted to ice-free conditions, were affected by discrete events of locally increased ice cover, but showed less variable, nonlinear responses to sea ice loss. Gentoo penguins were temporarily affected by negative anomalies in regional sea ice, but persistent sea ice reductions were likely to increase their available niche, which is likely to be substantially segregated from that of their more abundant congeners. Thus, the regional consequences of global climate perturbations on the sea ice phenology affect the marine ecosystem, with repercussions for penguin food supply and competition for resources. Ultimately, variability in penguin populations with warming reflects the local balance between penguin adaptation to ice conditions and trophic-mediated changes cascading from global climate forcing.</t>
  </si>
  <si>
    <t>jfor@bas.ac.uk</t>
  </si>
  <si>
    <t>Forcada, Jaume/GYU-0677-2022; murphy, eugene/GZL-1620-2022</t>
  </si>
  <si>
    <t>10.1111/j.1365-2486.2006.01108.x</t>
  </si>
  <si>
    <t>021YY</t>
  </si>
  <si>
    <t>WOS:000236023000001</t>
  </si>
  <si>
    <t>Barnes, DKA; Hodgson, DA; Convey, P; Allen, CS; Clarke, A</t>
  </si>
  <si>
    <t>Incursion and excursion of Antarctic biota: past, present and future</t>
  </si>
  <si>
    <t>GLOBAL ECOLOGY AND BIOGEOGRAPHY</t>
  </si>
  <si>
    <t>alien species; Antarctica; dispersal; invasions; Southern Ocean; species transport</t>
  </si>
  <si>
    <t>LONG-DISTANCE DISPERSAL; SOUTHERN-OCEAN ISLANDS; ALIEN VASCULAR PLANTS; PRINCE-EDWARD ISLANDS; EUROPEAN RABBIT FLEA; CLIMATE-CHANGE; ECOLOGICAL BIOGEOGRAPHY; INTERANNUAL VARIABILITY; BIOLOGICAL INVASIONS; MOLECULAR EVIDENCE</t>
  </si>
  <si>
    <t>Aim To investigate the major paradigms of intense isolation and little anthropogenic influence around Antarctica and to examine the timings and scales of the modification of the southern polar biota. Location Antarctica and surrounding regions. Methods First, mechanisms of and evidence for long-term isolation are reviewed. These include continental drift, the development of a surrounding deep-water channel and the Antarctic Circumpolar Current (ACC). They also include levels of endemism, richness and distinctiveness of assemblages. Secondly, evidence for past and modern opportunities for species transport are investigated. Comparative levels of alien establishments are also examined around the Southern Ocean. Discussion On a Cenozoic time-scale, it is clear that Gondwana's fragmentation led to increasing geographical isolation of Antarctica and the initiation of the ACC, which restricted biota exchange to low levels while still permitting some movement of biota. On a shorter Quaternary time-scale, the continental ice-sheet, influenced by solar (Milankovitch) cycles, has expanded and contracted periodically, covering and exposing terrestrial and continental shelf habitats. There were probably refugia for organisms during each glacial maxima. It is also likely that new taxa were introduced into Antarctica during cycles of ice sheet and oceanic front movement. The current situation (a glacial minimum) is not 'normal'; full interglacials represent only 10% of the last 430 ka. On short (ecological) time-scales, many natural dispersal processes (airborne, oceanic eddy, rafting and hitch-hiking on migrants) enable the passage of biota to and from Antarctica. In recent years, humans have become influential both directly by transporting organisms and indirectly by increasing survival and establishment prospects via climate change. Main conclusions Patterns of endemism and alien establishment are very different across taxa, land and sea, and north vs. south of the Polar Frontal Zone. Establishment conditions, as much as transport, are important in limiting alien establishment. Three time-scales emerge as important in the modification of Antarctica's biota. The natural 'interglacial' process of reinvasion of Antarctica is being influenced strongly by humans.</t>
  </si>
  <si>
    <t>British Antarctic Survey, NERC, Madingley Rd, Cambridge CB3 0ET, England.</t>
  </si>
  <si>
    <t>NERC [bas010001, dml011000, bas010008] Funding Source: UKRI; Natural Environment Research Council [bas010008, bas010001, dml011000] Funding Source: researchfish</t>
  </si>
  <si>
    <t>1466-822X</t>
  </si>
  <si>
    <t>1466-8238</t>
  </si>
  <si>
    <t>GLOBAL ECOL BIOGEOGR</t>
  </si>
  <si>
    <t>Glob. Ecol. Biogeogr.</t>
  </si>
  <si>
    <t>10.1111/j.1466-822x.2006.00216.x</t>
  </si>
  <si>
    <t>017LE</t>
  </si>
  <si>
    <t>WOS:000235694300002</t>
  </si>
  <si>
    <t>López-González, PJ</t>
  </si>
  <si>
    <t>A new gorgonian genus from deep-sea Antarctic waters (Octocorallia, Alcyonacea, Plexauridae)</t>
  </si>
  <si>
    <t>HELGOLAND MARINE RESEARCH</t>
  </si>
  <si>
    <t>Cnidaria; Octocorallia; Alcyonacea; Plexauridae; Antarctica; Mesogligorgia</t>
  </si>
  <si>
    <t>Mesogligorgia scotiae gen. nov., sp. nov. is described and illustrated from a colony collected in the Scotia Sea, 2,201-2,213 m in depth, on the ANDEEP-I cruise. The new taxon is placed in the family Plexauridae because of: 1) the presence of a horny axis with a cross-chambered central core and numerous loculi, 2) retractile polyps in calyces with distinct spicular components, and 3) armed polyps with large sclerites with a poorly- developed collaret and eight well-developed points. The irregularly distributed sclerites running along the axis, into a thick mesogloeal coenenchyme, and the elongated spindles with irregular ends are the most distinctive characters of the newly proposed genus.</t>
  </si>
  <si>
    <t>Univ Sevilla, Dept Fisiol &amp; Zool, Fac Biol, E-41012 Seville, Spain</t>
  </si>
  <si>
    <t>University of Sevilla</t>
  </si>
  <si>
    <t>Univ Sevilla, Dept Fisiol &amp; Zool, Fac Biol, Reina Mercedes 6, E-41012 Seville, Spain.</t>
  </si>
  <si>
    <t>BMC</t>
  </si>
  <si>
    <t>CAMPUS, 4 CRINAN ST, LONDON N1 9XW, ENGLAND</t>
  </si>
  <si>
    <t>1438-387X</t>
  </si>
  <si>
    <t>1438-3888</t>
  </si>
  <si>
    <t>HELGOLAND MAR RES</t>
  </si>
  <si>
    <t>Helgoland Mar. Res.</t>
  </si>
  <si>
    <t>10.1007/s10152-005-0008-1</t>
  </si>
  <si>
    <t>020IH</t>
  </si>
  <si>
    <t>WOS:000235901700001</t>
  </si>
  <si>
    <t>Opstad, I; Suontama, J; Langmyhr, E; Olsen, RE</t>
  </si>
  <si>
    <t>Growth, survival, and development of Atlantic cod (Gadus morhua L.) weaned onto diets containing various sources of marine protein</t>
  </si>
  <si>
    <t>Symposium on Gadoid Mariculture</t>
  </si>
  <si>
    <t>JUN 13-16, 2004</t>
  </si>
  <si>
    <t>Bergen, NORWAY</t>
  </si>
  <si>
    <t>alternative protein sources; cod; weaning</t>
  </si>
  <si>
    <t>CADMIUM; FLUORIDE; MERCURY; LARVAE; FEED; ZINC</t>
  </si>
  <si>
    <t>We studied the effects of partial or complete substitution of fishmeal with alternative sources of marine protein (amphipod or krill meal) on growth, survival, liver index, and deformities of juvenile cod (Gadus morhua L.). The diets contained either 100% fishmeal or fishmeal that was replaced with 25%, 50%, or 100% amphipod meal or 50% or 100% Antarctic krill meal. Cod larvae were start-fed on rotifers and weaned directly to one of the six formulated feeds at a mean wet weight of 28 mg, 40 days post first-feeding. The mean weight of fish reared on different diets at the end of the experiment ranged from 0.92 to 2.52 g. The best growth was obtained by cod fed 100% fishmeal and 50% krill meal. There was a trend in the direction of slower growth with increasing levels of amphipod meal in the diets. Survival ranged from 87% to 79%, and there was a tendency for higher mortality with increasing content of amphipod meal. The liver index varied between 11.7% and 9.9%. The composition of the diets also had a significant influence on the occurrence of skeletal deformities. The highest proportion of deformities (16% of all fish) was in fish fed 100% amphipod meal, decreasing as the proportion of amphipod meal in the diets declined. A similar effect was not seen with Antarctic krill meal. The amphipod meal had a high content of ash, fluoride, cadmium, and mercury, which may have caused the deformities.(c) 2006 international Council for the Exploration of the Sea. Published by Elsevier Ltd. All rights reserved.</t>
  </si>
  <si>
    <t>Inst Marine Res, N-5392 Storebo, Norway; Inst Marine Res, N-5984 Matredal, Norway; Norwegian Inst Fisheries &amp; Aquaculture Res, N-5141 Fyllingsdalen, Norway</t>
  </si>
  <si>
    <t>Institute of Marine Research - Norway; Institute of Marine Research - Norway</t>
  </si>
  <si>
    <t>Inst Marine Res, N-5392 Storebo, Norway.</t>
  </si>
  <si>
    <t>ingegjerd.opstad@imr.no</t>
  </si>
  <si>
    <t>Olsen, Rolf Erik/0000-0002-6633-5837; Olsen, Rolf/0000-0001-7523-3165</t>
  </si>
  <si>
    <t>1095-9289</t>
  </si>
  <si>
    <t>10.1016/j.icesjms.2005.11.014</t>
  </si>
  <si>
    <t>022UH</t>
  </si>
  <si>
    <t>WOS:000236081100016</t>
  </si>
  <si>
    <t>Makarova, MV; Poberovskii, AV; Yagovkina, SV; Karol', IL; Lagun, VE; Paramonova, NN; Reshetnikov, AI; Privalov, VI</t>
  </si>
  <si>
    <t>Makarova, M. V.; Poberovskii, A. V.; Yagovkina, S. V.; Karol', I. L.; Lagun, V. E.; Paramonova, N. N.; Reshetnikov, A. I.; Privalov, V. I.</t>
  </si>
  <si>
    <t>Study of the formation of the methane field in the atmosphere over northwestern Russia</t>
  </si>
  <si>
    <t>IZVESTIYA ATMOSPHERIC AND OCEANIC PHYSICS</t>
  </si>
  <si>
    <t>SPECTROSCOPIC MEASUREMENTS; ST-PETERSBURG; EMISSION; MIRES; LAYER</t>
  </si>
  <si>
    <t>Major processes of generation of the methane field in the atmosphere over northwestern Russia have been studied on the basis of measured surface concentration and total content of methane in the environs of St. Petersburg, air-mass trajectories, and a three-dimensional regional pollution transport model. It is shown that the contribution of methane emission from an industrial center to the total column amount of methane is no more than 2% of its average value. At the same time, because of this emission, the surface methane concentration in the environs of St. Petersburg varies by as much as 50%. The origin of air masses arriving at the site of measurements influences both the total content and the surface concentration of methane. The air masses that passed over the continental part of western and eastern Europe are characterized by the values of total content and surface concentration of methane that are about 4% higher than those in the air masses formed over the ocean, which come to the region from the northwest. The regional transport model for greenhouse gases satisfactorily describes the results of surface measurements and adequately simulates observed tendencies in the change of total methane content. An estimate of the integral emission of methane into the atmosphere from St. Petersburg and its industrial suburbs is about 100 kt per year.</t>
  </si>
  <si>
    <t>St Petersburg State Univ, St Petersburg 198504, Russia; Voeikov Main Geophys Observ, St Petersburg 194021, Russia; Arctic &amp; Antarctic Res Inst, St Petersburg 199397, Russia; Res Ctr Atmospher Remote Sensing NITsDZA, Main Geophys Observ, St Petersburg, Russia</t>
  </si>
  <si>
    <t>Saint Petersburg State University; Arctic &amp; Antarctic Research Institute</t>
  </si>
  <si>
    <t>Makarova, MV (corresponding author), St Petersburg State Univ, Ul Ulyanovskaya 1, St Petersburg 198504, Russia.</t>
  </si>
  <si>
    <t>zaits@troll.phys.spbu.ru; svja@SJ8637.spb.edu; lagun@aari.nw.ru; reshal@peterlink.ru</t>
  </si>
  <si>
    <t>Paramonova, Nina/ABE-1791-2020; Makarova, Maria V/J-4858-2013; Poberovskiy, Anatoliy/K-1188-2013</t>
  </si>
  <si>
    <t>Makarova, Maria V/0000-0003-2469-9250; Poberovskiy, Anatoliy/0000-0003-0894-4615</t>
  </si>
  <si>
    <t>0001-4338</t>
  </si>
  <si>
    <t>1555-628X</t>
  </si>
  <si>
    <t>IZV ATMOS OCEAN PHY+</t>
  </si>
  <si>
    <t>Izv. Atmos. Ocean. Phys.</t>
  </si>
  <si>
    <t>10.1134/S0001433806020083</t>
  </si>
  <si>
    <t>157FI</t>
  </si>
  <si>
    <t>WOS:000245703600008</t>
  </si>
  <si>
    <t>Fowler, SL; Costa, DP; Arnould, JPY; Gales, NJ; Kuhn, CE</t>
  </si>
  <si>
    <t>Ontogeny of diving behaviour in the Australian sea lion: trials of adolescence in a late bloomer</t>
  </si>
  <si>
    <t>benthic diving; foraging ecology; Neophoca cinerea; postnatal development; weaning</t>
  </si>
  <si>
    <t>ZEALAND FUR SEALS; FORAGING BEHAVIOR; ARCTOCEPHALUS-FORSTERI; NEOPHOCA-CINEREA; PHOCARCTOS-HOOKERI; WESTERN-AUSTRALIA; BREEDING CYCLE; DIVE BEHAVIOR; KING PENGUINS; PATTERNS</t>
  </si>
  <si>
    <t>Foraging behaviours of the Australian sea lion (Neophoca cinerea) reflect an animal working hard to exploit benthic habitats. Lactating females demonstrate almost continuous diving, maximize bottom time, exhibit elevated field metabolism and frequently exceed their calculated aerobic dive limit. Given that larger animals have disproportionately greater diving capabilities, we wanted to examine how pups and juveniles forage successfully. Time/depth recorders were deployed on pups, juveniles and adult females at Seal Bay Conservation Park, Kangaroo Island, South Australia. Ten different mother/pup pairs were equipped at three stages of development (6, 15 and 23 months) to record the diving behaviours of 51 (nine instruments failed) animals. Dive depth and duration increased with age. However, development was slow. At 6 months, pups demonstrated minimal diving activity and the mean depth for 23-month-old juveniles was only 44 +/- 4 m, or 62% of adult mean depth. Although pups and juveniles did not reach adult depths or durations, dive records for young sea lions indicate benthic diving with mean bottom times (2.0 +/- 0.2 min) similar to those of females (2.1 +/- 0.2 min). This was accomplished by spending higher proportions of each dive and total time at sea on or near the bottom than adults. Immature sea lions also spent a higher percentage of time at sea diving. Juveniles may have to work harder because they are weaned before reaching full diving capability. For benthic foragers, reduced diving ability limits available foraging habitat. Furthermore, as juveniles appear to operate close to their physiological maximum, they would have a difficult time increasing foraging effort in response to reductions in prey. Although benthic prey are less influenced by seasonal fluctuations and oceanographic perturbations than epipelagic prey, demersal fishery trawls may impact juvenile survival by disrupting habitat and removing larger size classes of prey. These issues may be an important factor as to why the Australian sea lion population is currently at risk.</t>
  </si>
  <si>
    <t>Univ Calif Santa Cruz, Dept Ecol &amp; Evolutionary Biol, Santa Cruz, CA 95064 USA; Deakin Univ, Sch Life &amp; Environm Sci, Burwood, Vic 3125, Australia; Australian Antarctic Div, Kingston, Tas 7001, Australia</t>
  </si>
  <si>
    <t>University of California System; University of California Santa Cruz; Deakin University; Australian Antarctic Division</t>
  </si>
  <si>
    <t>Fowler, SL (corresponding author), Univ Calif Santa Cruz, Dept Ecol &amp; Evolutionary Biol, Santa Cruz, CA 95064 USA.</t>
  </si>
  <si>
    <t>fowler@biology.ucsc.edu</t>
  </si>
  <si>
    <t>Carlos, Universidade Federal de São/W-8832-2019; Costa, Daniel Paul/E-2616-2013</t>
  </si>
  <si>
    <t>Carlos, Universidade Federal de São/0000-0002-0334-3899; Kuhn, Carey/0000-0002-6835-9744; Costa, Daniel Paul/0000-0002-0233-5782</t>
  </si>
  <si>
    <t>10.1111/j.1365-2656.2006.01055.x</t>
  </si>
  <si>
    <t>027AJ</t>
  </si>
  <si>
    <t>WOS:000236384700005</t>
  </si>
  <si>
    <t>Souza-Echer, MP; Pereir-A, EB; Bins, LS; Andrade, MAR</t>
  </si>
  <si>
    <t>A simple method for the assessment of the cloud cover state in high-latitude regions by a ground-based digital camera</t>
  </si>
  <si>
    <t>JOURNAL OF ATMOSPHERIC AND OCEANIC TECHNOLOGY</t>
  </si>
  <si>
    <t>This work describes the development of a simple method of field estimating the sky cloud coverage percentage for several applications at the Brazilian Antarctic Station, Ferraz (62 degrees 05'S, 58 degrees 23.5'W). The database of this method was acquired by a digital color camera in the visible range of the spectrum. A new algorithm was developed to classify each pixel according to a criteria decision process. The information on the pixel contamination by clouds was obtained from the saturation component of the intensity, hue, and saturation space (IHS). For simplicity, the images were acquired with a limited field of view of 36 degrees pointing to the camera's zenith to prevent direct sunlight from reaching the internal charge-coupled device (CCD) on the camera. For a priori-classified clear-sky images, the accuracy of the method was superior to 94%. For overcast-sky conditions, the corresponding accuracy was larger than 99%. A comparison test was performed with two human observers and our method. The results for the 29 images collected for several time of days during 50 days in 1999 summer were compared to visual observations of these same digital images by two trained field meteorologists. Correlation coefficients between human observers and the automatic method ranged from 0.84 for clear-sky conditions, and the lowest was 0.09 for undefined-sky conditions.</t>
  </si>
  <si>
    <t>INPE, CPTEC, Ctr Weather Forecasts &amp; Climate Studies, BR-12201970 Sao Paulo, Brazil; INPE, OBT, Earth Observat, Sao Paulo, Brazil</t>
  </si>
  <si>
    <t>Instituto Nacional de Pesquisas Espaciais (INPE); Instituto Nacional de Pesquisas Espaciais (INPE)</t>
  </si>
  <si>
    <t>INPE, CPTEC, Ctr Weather Forecasts &amp; Climate Studies, POB 515, BR-12201970 Sao Paulo, Brazil.</t>
  </si>
  <si>
    <t>mariza@dge.inpe.br</t>
  </si>
  <si>
    <t>Pereira de Souza Echer, Mariza/ABE-7542-2021; Pereira, Enio/AAH-3308-2020</t>
  </si>
  <si>
    <t>Pereira de Souza Echer, Mariza/0000-0001-6706-8585; Pereira, Enio/0000-0002-5095-0085</t>
  </si>
  <si>
    <t>0739-0572</t>
  </si>
  <si>
    <t>1520-0426</t>
  </si>
  <si>
    <t>J ATMOS OCEAN TECH</t>
  </si>
  <si>
    <t>J. Atmos. Ocean. Technol.</t>
  </si>
  <si>
    <t>10.1175/JTECH1833.1</t>
  </si>
  <si>
    <t>Engineering, Ocean; Meteorology &amp; Atmospheric Sciences</t>
  </si>
  <si>
    <t>Engineering; Meteorology &amp; Atmospheric Sciences</t>
  </si>
  <si>
    <t>034DW</t>
  </si>
  <si>
    <t>WOS:000236908500009</t>
  </si>
  <si>
    <t>Burns, GB; Tinsley, BA; Klekociuk, AR; Troshichev, OA; Frank-Kamenetsky, A; Duldig, ML; Bering, EA; Clem, JM</t>
  </si>
  <si>
    <t>Antarctic polar plateau vertical electric field variations across hellocentric current sheet crossings</t>
  </si>
  <si>
    <t>atmospheric electric fields; global electric circuit; polar convection; heliocentric current sheet crossings</t>
  </si>
  <si>
    <t>SOLAR-WIND; ATMOSPHERIC ELECTRICITY; GEOELECTRIC FIELD; TEMPERATURE; VOSTOK; VARIABILITY; CONVECTION; DYNAMICS; PATTERNS; MODEL</t>
  </si>
  <si>
    <t>A superposed epoch analysis of variations of the vertical electric field measured at Vostok (78.5 degrees S, 107 degrees E; magnetic latitude 83.6 degrees S) during 1998-2002 heliocentric current sheet (HCS) crossings yields no significant variation other than an association imposed by polar-cap potential differences above the site. This result contradicts published reports of a reduction similar to 15% in electric field 1-3 days after HCS crossings, an observation initially made similar to 30 years ago. If such a reduction had been caused by reductions in stratospheric ionising radiation, the presence of polar stratospheric clouds (PSC) would seem necessary for the occurrence of this effect. PSCs would increase the resistance of the stratosphere thus making ionisation in that region significant in the context of the ionosphere-ground current flow, in a manner analogous to the role of volcanic aerosols in the stratosphere in the explanation of the weakening of northern hemisphere winter cyclones associated with HCS crossings, the so-called 'Wilcox effect'. However, separating the present data to correspond to the likely presence of PSC above Vostok also does not yield the reported reduction. Significant increases or decreases of the vertical electric field emerge from the observations when the HCS crossings are separated into sets depending on whether the solar wind magnetic field changes from 'toward-to-away' (increase of similar to 11%) and 'away-to-toward' (decrease of similar to 8%). Polar-cap potential changes above the site, inferred from solar wind parameters using the Weimer model, also show such step functions that reverse with the sign of HCS transition and are broadly consistent with the measured electric field increases or decreases. Remaining differences between the measurements and the model are consistent with a somewhat stronger solar wind speed and/or magnetic activity influence on polar-cap convection above Vostok than is predicted by the model. Variations in ground-level neutron counts, a measure of cosmic ray influence on the atmospheric conductivity, demonstrate average variations of less than 1% around HCS crossings and at this level would not contribute significantly to the electric field variations. Magnetic activity (measured using the Kp index) and solar wind speed decrease around HCS crossings independent of whether the crossings are 'toward-to-away' or 'away-to-toward'. These decreases are broadly similar in shape to the previously reported Vostok electric field responses. However, their effects on ionospheric potential are included in the Weimer model, and are small. In contrast to sub-auroral latitudes, where the precipitation of MeV electrons from the radiation belts has a characteristic decrease for both types of HCS crossing, there are no known sources of stratospheric ionising radiation in the polar caps that could explain the previously reported effect. Thus, observation and theory are now in agreement for the absence of this effect. (c) 2005 Elsevier Ltd. All rights reserved.</t>
  </si>
  <si>
    <t>Australian Govt, Australian Antarctic Div, Kingston, Tas 7050, Australia; Univ Texas, Richardson, TX 75083 USA; Arctic &amp; Antarctic Res Inst, St Petersburg 194175, Russia; Univ Houston, Houston, TX 77204 USA; Univ Delaware, Bartol Res Inst, Newark, DE 19716 USA</t>
  </si>
  <si>
    <t>Australian Antarctic Division; University of Texas System; University of Texas Dallas; Arctic &amp; Antarctic Research Institute; University of Houston System; University of Houston; University of Delaware</t>
  </si>
  <si>
    <t>Australian Govt, Australian Antarctic Div, Kingston, Tas 7050, Australia.</t>
  </si>
  <si>
    <t>gary.burns@aad.gov.au</t>
  </si>
  <si>
    <t>Klekociuk, Andrew/A-4498-2015</t>
  </si>
  <si>
    <t>Klekociuk, Andrew/0000-0003-3335-0034; Duldig, Marcus/0000-0001-7463-8267</t>
  </si>
  <si>
    <t>10.1016/j.jastp.2005.10.008</t>
  </si>
  <si>
    <t>027RB</t>
  </si>
  <si>
    <t>WOS:000236431800004</t>
  </si>
  <si>
    <t>Chattopadhyay, MK</t>
  </si>
  <si>
    <t>Mechanism of bacterial adaptation to low temperature</t>
  </si>
  <si>
    <t>JOURNAL OF BIOSCIENCES</t>
  </si>
  <si>
    <t>Antarctic; cold adaptation; low temperature; psychrophiles</t>
  </si>
  <si>
    <t>ANTARCTIC PSYCHROTROPHIC BACTERIA; PSEUDOMONAS-SYRINGAE LZ4W; MCMURDO DRY VALLEYS; SP-NOV.; COLD-ADAPTATION; ESCHERICHIA-COLI; LISTERIA-MONOCYTOGENES; GLYCINE BETAINE; SEA-ICE; RADIATION-RESISTANCE</t>
  </si>
  <si>
    <t>Survival of bacteria at low temperatures provokes scientific interest because of several reasons. Investigations in this area promise insight into one of the mysteries of life science - namely, how the machinery of life operates at extreme environments. Knowledge obtained from these studies is likely to be useful in controlling pathogenic bacteria, which survive and thrive in cold-stored food materials. The outcome of these studies may also help us to explore the possibilities of existence of life in distant frozen planets and their satellites.</t>
  </si>
  <si>
    <t>Ctr Cellular &amp; Mol Biol, Hyderabad 500007, Andhra Pradesh, India</t>
  </si>
  <si>
    <t>Council of Scientific &amp; Industrial Research (CSIR) - India; CSIR - Centre for Cellular &amp; Molecular Biology (CCMB)</t>
  </si>
  <si>
    <t>Ctr Cellular &amp; Mol Biol, Hyderabad 500007, Andhra Pradesh, India.</t>
  </si>
  <si>
    <t>mkc@ccmb.res.in</t>
  </si>
  <si>
    <t>0250-5991</t>
  </si>
  <si>
    <t>0973-7138</t>
  </si>
  <si>
    <t>J BIOSCIENCES</t>
  </si>
  <si>
    <t>J. Biosci.</t>
  </si>
  <si>
    <t>10.1007/BF02705244</t>
  </si>
  <si>
    <t>026WZ</t>
  </si>
  <si>
    <t>WOS:000236375100017</t>
  </si>
  <si>
    <t>Foden, J; Elburg, MA; Dougherty-Page, J; Burtt, A</t>
  </si>
  <si>
    <t>The timing and duration of the Delamerian orogeny: Correlation with the Ross Orogen and implications for Gondwana assembly</t>
  </si>
  <si>
    <t>JOURNAL OF GEOLOGY</t>
  </si>
  <si>
    <t>CENTRAL TRANSANTARCTIC MOUNTAINS; NORTHERN FLINDERS RANGES; PROTEROZOIC DAMARA BELT; EASTERN GHATS BELT; A-TYPE GRANITES; NEW-ZEALAND; PACIFIC MARGIN; TRACE-ELEMENT; RB-SR; U-PB</t>
  </si>
  <si>
    <t>The Antarctic Ross and the Australian Delamerian orogenies are the consequence of stress transfer to the outboard trailing edge of the newly assembled Gondwana supercontinent. This tectonic reorganization occurred in the Early to Middle Cambrian on completion of Pan-African deformation and subduction along the sutures between eastern and western Gondwanan continental fragments. Before this, Neoproterozoic to Early Cambrian rocks in eastern Australia were formed in a passive margin and record dispersion of Rodinia with consequent opening of the proto-Pacific. Our new U-Pb and Rb-Sr geochronology shows that in the South Australian (Adelaide Fold Belt) domain of the Delamerian Orogen, contractional orogenesis commenced at 514 +/- 3 Ma and persisted for similar to 24 m.yr. until 490 +/- 3 Ma, terminated by rapid uplift, cooling, and extension in association with posttectonic magmatism. Integration of new and published U-Pb and 40Ar-39Ar geochronology from the entire Ross-Delamerian belt shows that although both the Delamerian and Ross have a synchronous late magmatic and terminal cooling history, the Ross commenced its convergent orogenic history at similar to 540 Ma. This was 25 m.yr. before Delamerian deformation began. During the Early Cambrian, eastern Australia was still in a state of extension (or transtension), with opening of the Kanmantoo Basin and associated anorogenic, largely mafic magmatism. This basin received sediment from the already exposed Ross Orogen to the south. The simultaneous first occurrence of strain fabrics and subduction-related magmatism (including boninite, granite, and andesite lavas) at similar to 514 Ma in New Zealand, Victoria, South Australia, New South Wales, and Tasmania implies that the Delamerian Orogeny was driven by ridge-push forces transmitted on the initiation of westward-dipping subduction. Subsequent eastward slab rollback at 490 Ma may have occurred when the new slab had reached the transition zone at 650-km depth, resulting in upper plate extension and anorogenic Basin and Range-style magmatism in South Australia and Tasmania (Mount Read belt). The delayed onset of subduction in the Australian sector of the margin implies that westward motion of the Australian portion of eastern Gondwana continued to be accommodated during the late Early Cambrian by subduction or deformation along either the Mozambique Suture or at the northern end of the South Prince Charles Mountains-Prydz Bay suture.</t>
  </si>
  <si>
    <t>Univ Adelaide, Adelaide, SA 5005, Australia; Dept Primary Ind, Off Minerals &amp; Energy Resources, Adelaide, SA, Australia</t>
  </si>
  <si>
    <t>Univ Adelaide, Adelaide, SA 5005, Australia.</t>
  </si>
  <si>
    <t>john.foden@adelaide.edu.au</t>
  </si>
  <si>
    <t>Foden, John/0000-0003-3564-7253; Elburg, Marlina/0000-0001-7154-1910</t>
  </si>
  <si>
    <t>0022-1376</t>
  </si>
  <si>
    <t>1537-5269</t>
  </si>
  <si>
    <t>J GEOL</t>
  </si>
  <si>
    <t>J. Geol.</t>
  </si>
  <si>
    <t>10.1086/499570</t>
  </si>
  <si>
    <t>010RR</t>
  </si>
  <si>
    <t>WOS:000235213800004</t>
  </si>
  <si>
    <t>Riley, TR; Curtis, ML; Leat, PT; Watkeys, MK; Duncan, RA; Millar, IL; Owens, WH</t>
  </si>
  <si>
    <t>Overlap of Karoo and Ferrar magma types in KwaZulu-Natal, South Africa</t>
  </si>
  <si>
    <t>JOURNAL OF PETROLOGY</t>
  </si>
  <si>
    <t>dyke; basalt; crustal contamination; large igneous province</t>
  </si>
  <si>
    <t>DRONNING MAUD LAND; MOUNTAINS VICTORIA LAND; FLOW DIRECTIONS; DOLERITE DYKES; 40AR/39AR GEOCHRONOLOGY; IGNEOUS PROVINCE; ENRICHED MANTLE; DUPAL SIGNATURE; FORELAND BASIN; TRACE-ELEMENT</t>
  </si>
  <si>
    <t>A suite of mafic dykes from the Underberg region of southern KwaZulu-Natal (South Africa) were intruded at similar to 178 Ma, coincident in age with the major Okavango Dyke Swarm of Botswana, and also coincident with minor Karoo-related intrusions of the northern and central Lebombo. The dykes are all low-Ti-Zr tholeiites, they trend NW-SE and are presumed to continue into the Karoo central area of the Lesotho Highlands. In many respects, the Underberg dykes are similar to the majority of the low-Ti-Zr volcanic and subvolcanic intrusions of the Karoo; however, their Sr-87/Sr-86 and epsilon Nd isotope ratios are either 'Ferrar-like' (Sr-87/Sr-86 similar to 0.710; epsilon Nd &lt; -3) or transitional between Karoo low-Ti-Zr and Ferrar low-Ti magmas. A potential Ferrar source for at least some of the Underberg dykes is supported by anisotropy of magnetic susceptibility analyses of the dyke suite, which demonstrate absolute flow direction from the SE to the NW, consistent with Gondwana reconstructions. The role of crustal contamination and combined fractional crystallization is also demonstrated to have played a key role in the petrogenesis of the Underberg dykes, involving a local upper crust contaminant. However, the composition of the 'Ferrar-like' dykes cannot be easily explained by AFC processes, but they do demonstrate that melting of a lithospheric mantle source enriched to a small degree by subduction-derived fluid was also important.</t>
  </si>
  <si>
    <t>British Antarctic Survey, Cambridge CB3 0ET, England; Univ Kwazulu Natal, Sch Geol &amp; Comp Sci, ZA-4041 Durban, South Africa; Oregon State Univ, Coll Ocean &amp; Atmospher Sci, Corvallis, OR 97331 USA; British Antarctic Survey, NERC, Isotope Geosci Lab, Nottingham NG12 5GG, England; Univ Birmingham, Sch Geog Earth &amp; Environm Sci, Birmingham B15 2TT, W Midlands, England</t>
  </si>
  <si>
    <t>UK Research &amp; Innovation (UKRI); Natural Environment Research Council (NERC); NERC British Antarctic Survey; University of Kwazulu Natal; Oregon State University; UK Research &amp; Innovation (UKRI); Natural Environment Research Council (NERC); NERC British Geological Survey; NERC British Antarctic Survey; University of Birmingham</t>
  </si>
  <si>
    <t>t-riley@bas.ac.uk</t>
  </si>
  <si>
    <t>Duncan, Robert A/A-2168-2013; Curtis, Mike/HKV-6176-2023; Millar, Ian L/F-1541-2010</t>
  </si>
  <si>
    <t>Riley, Teal/0000-0002-3333-5021</t>
  </si>
  <si>
    <t>0022-3530</t>
  </si>
  <si>
    <t>1460-2415</t>
  </si>
  <si>
    <t>J PETROL</t>
  </si>
  <si>
    <t>J. Petrol.</t>
  </si>
  <si>
    <t>10.1093/petrology/egi085</t>
  </si>
  <si>
    <t>013SW</t>
  </si>
  <si>
    <t>WOS:000235430800005</t>
  </si>
  <si>
    <t>Stammer, D; Wunsch, C; Ueyoshi, K</t>
  </si>
  <si>
    <t>Temporal changes in ocean eddy transports</t>
  </si>
  <si>
    <t>NORTH-ATLANTIC; CIRCULATION; MODEL; ENERGY</t>
  </si>
  <si>
    <t>New estimates from 11 yr of altimetric data are made of the global time-average variability kinetic energy and its decadal-scale variability. Making the approximation that the variability reflects primarily eddy motions, a time-mean, but spatially varying, eddy mixing coefficient is then estimated along with its changes over the last decade. With a record length more than 2 times that previously available, the time-mean variability kinetic energy K, is statistically more reliable and smoother in its spatial pattern. Minimum values of K-E are present in the subpolar North Pacific Ocean and in the eastern South Pacific (both less than 100 cm(2) s(-2)). in contrast to the North Pacific, the subpolar North Atlantic Ocean shows relatively enhanced K,. Eddy kinetic energy and eddy mixing appear to have declined during the last decade over large parts of the western Pacific Ocean, in some regions by as much as 50% of the time-mean value. Increased eddy variability can be found in the Kuroshio and Gulf Stream regions, as well as in the Agulhas region, east of Australia, and at several locations along the Antarctic Circumpolar Current. Somewhat enhanced eddy variability and eddy mixing are also apparent in the eastern tropical Pacific. A numerical simulation of the ocean circulation at 1 degrees spatial resolution over a 10-yr period suggests that variations in eddy mixing of this order of magnitude measurably affect the deep temperature field in the vicinity of permanent frontal structures on a time scale of less than 4 yr. The meridional overturning circulation also reacts on these time scales. If persistent over longer periods in the ocean, these effects would be important for climate simulations.</t>
  </si>
  <si>
    <t>Univ Hamburg, Inst Meereskunde, D-20146 Hamburg, Germany; MIT, Dept Earth Atmospher &amp; Planetary Sci, Cambridge, MA USA; Univ Calif San Diego, Scripps Inst Oceanog, Phys Oceanog Res Div, Ctr Observat Modeling &amp; Predict, La Jolla, CA 92093 USA</t>
  </si>
  <si>
    <t>University of Hamburg; Massachusetts Institute of Technology (MIT); University of California System; University of California San Diego; Scripps Institution of Oceanography</t>
  </si>
  <si>
    <t>Univ Hamburg, Inst Meereskunde, Bundenstr 53, D-20146 Hamburg, Germany.</t>
  </si>
  <si>
    <t>stammer@ifm.uni-hamburg.de</t>
  </si>
  <si>
    <t>10.1175/JPO2858.1</t>
  </si>
  <si>
    <t>034DY</t>
  </si>
  <si>
    <t>WOS:000236908700017</t>
  </si>
  <si>
    <t>Négrel, P; Casanova, J; Brulhet, J</t>
  </si>
  <si>
    <t>Ree and Nd isotope stratigraphy of a Late Jurassic carbonate platform, eastern Paris Basin, France</t>
  </si>
  <si>
    <t>JOURNAL OF SEDIMENTARY RESEARCH</t>
  </si>
  <si>
    <t>RARE-EARTH-ELEMENTS; ANTARCTIC MARINE-SEDIMENTS; LAST GLACIAL MAXIMUM; NEODYMIUM ISOTOPES; CRUSTAL EVOLUTION; HERCYNIAN GRANITOIDS; BIOGENIC APATITES; SUSPENDED LOADS; OCEAN SEDIMENTS; FE OXYHYDROXIDE</t>
  </si>
  <si>
    <t>Rare earth elements (REE) and Nd isotopes on the labile fraction of the Callovian-Oxfordian to Tithonian Jurassic carbonate platform of the eastern Paris Basin were used to reconstruct the composition of the contemporaneous waters from which the labile fraction may have originated. This sedimentary record shows a remarkable change in the manganese content between the clayey deposits at the top and bottom of the succession and the carbonate-platform deposits. The combined analyses of REE and Nd isotope ratios record the influence of emerged land and the Tethys Ocean. The REE patterns are similar to those of seawater in the middle part of the sedimentary record, suggesting REE removal by marine carbonate, while bell-shaped REE patterns are observed above and below, reflecting continent-derived REE carried by Fe-Mn coatings on detrital particles. Therefore, the REE patterns and their evolution through the sedimentary record highlight the roles played in the REE budget by Fe-Mn coatings on detrital particles and by marine carbonates. The predominant sources of Nd during platform evolution are characterized by the Nd isotope variations in the sediments; the nonradiogenic values (epsilon Nd-(t) between -12 and -10) strongly suggest that the predominant source of Nd on the platform was the continental crust through weathering and river inputs, whereas some more radiogenic Nd (epsilon Nd-(t) = -5) values are more typical of the Tethys seawater signature.</t>
  </si>
  <si>
    <t>Bur Rech Geol &amp; Minieres, F-45060 Orleans 02, France; ANDRA, F-92290 Chatenay Malabry, France</t>
  </si>
  <si>
    <t>Bureau de Recherches Geologiques et Minieres (BRGM)</t>
  </si>
  <si>
    <t>Bur Rech Geol &amp; Minieres, BP 6009,Ave C Guillemin, F-45060 Orleans 02, France.</t>
  </si>
  <si>
    <t>p.negrel@brgm.fr</t>
  </si>
  <si>
    <t>Negrel, Philippe/AAB-9593-2019</t>
  </si>
  <si>
    <t>Negrel, Philippe/0000-0001-7676-3782</t>
  </si>
  <si>
    <t>SEPM-SOC SEDIMENTARY GEOLOGY</t>
  </si>
  <si>
    <t>6128 EAST 38TH ST, STE 308, TULSA, OK 74135-5814 USA</t>
  </si>
  <si>
    <t>1527-1404</t>
  </si>
  <si>
    <t>1938-3681</t>
  </si>
  <si>
    <t>J SEDIMENT RES</t>
  </si>
  <si>
    <t>J. Sediment. Res.</t>
  </si>
  <si>
    <t>10.2110/jsr.2006.050</t>
  </si>
  <si>
    <t>037SA</t>
  </si>
  <si>
    <t>WOS:000237166100017</t>
  </si>
  <si>
    <t>Tarling, GA; Shreeve, RS; Hirst, AG; Atkinson, A; Pond, DW; Murphy, EJ; Watkins, JL</t>
  </si>
  <si>
    <t>Natural growth rates in Antarctic krill (Euphausia superba):: I.: Improving methodology and predicting intermolt period</t>
  </si>
  <si>
    <t>MEGANYCTIPHANES-NORVEGICA; NORTHERN KRILL; MOLT CYCLE; MATURATION; REPRODUCTION; STRATEGIES; CRUSTACEA; SHRINKAGE; SECTOR</t>
  </si>
  <si>
    <t>The growth rates of postlarval krill (Euphausia superba) were measured across a wide range of environments in the Scotia Sea and around South Georgia using the Instantaneous Growth Rate (IGR) method. Each IGR experiment determined the intermolt period (IMP) and growth increment at molt (GI) of an average of 120 individuals incubated for 5 d in through-flowing ambient, filtered seawater. We examined the results from 51 IGR experiments involving 5,927 animals ranging between 25 mm and 62 mm. Animals were collected from an area that covered a latitudinal range of 10 degrees and surface temperatures of between -0.85 degrees C and 4.75 degrees C. The measurement of IMP has rarely been achieved in IGR experiments because synchronous molting biases estimates. We overcame this by applying a binary logistic regression model to Our data. This related IMP to temperature, body length, and Maturity stage. Food did not influence IMP. Our model estimated that krill within Our experiments had IMPs ranging from 9 d to 57 d. Temperature affected the IMP of females more than that of males. The IMPs of females were shortest around 2 degrees C and increased at lower and higher temperatures. IMP increased with body size and altered according to gender, with male IMPs being 50% longer than those of equivalently sized females. One of the main assumptions of the IGR method is that the GI measured in the first few days reflects the in situ conditions experienced by krill in the previous intermolt period. However, we found that the GIs declined immediately and rapidly after capture, particularly when growth was initially high. Thus, conditions at time of molt also influence GI. We developed a method of correcting measured GIs to natural growth in field conditions. These refinements to IGR methodology (IMP and GI estimation) enable more accurate and precise predictions of krill growth rates in Summer to be made.</t>
  </si>
  <si>
    <t>gant@bas.ac.uk</t>
  </si>
  <si>
    <t>murphy, eugene/GZL-1620-2022; Atkinson, Angus/HOH-3417-2023; Hirst, Andrew G/A-6296-2013</t>
  </si>
  <si>
    <t>Hirst, Andrew/0000-0001-9132-1886</t>
  </si>
  <si>
    <t>10.4319/lo.2006.51.2.0959</t>
  </si>
  <si>
    <t>026MS</t>
  </si>
  <si>
    <t>WOS:000236343600016</t>
  </si>
  <si>
    <t>Atkinson, A; Shreeve, RS; Hirst, AG; Rothery, P; Tarling, GA; Pond, DW; Korb, RE; Murphy, EJ; Watkins, JL</t>
  </si>
  <si>
    <t>Natural growth rates in Antarctic krill (Euphausia superba):: II.: Predictive models based on food, temperature, body length, sex, and maturity stage</t>
  </si>
  <si>
    <t>SOUTHERN-OCEAN; POPULATION-DYNAMICS; SCOTIA SEA; GEORGIA; PHYTOPLANKTON; VARIABILITY; CARBON; CYCLE; ZOOPLANKTON; SECTOR</t>
  </si>
  <si>
    <t>We used the instantaneous growth rate method to determine the effects of food, temperature, krill length, sex, and maturity stage on in situ summer growth of krill across the southwest Atlantic sector of the Southern Ocean. The main aims were to examine the separate effects of each variable and to generate a predictive model of growth based on satellite-derivable environmental data. Both growth increments in length on moulting (GIs) and daily growth rates (DGRs, min d(-1)) ranged greatly among the 59 swarms, from 0.58-15% and 0.013-0.32 mm d(-1). However, all swarms maintained positive mean growth, even those in the low chlorophyll a (Chl a) zone of the central Scotia Sea. Among a suite of indices of food quantity and quality, large-scale monthly Chl a values from SeaWiFS predicted krill growth the best. Across Our Study area, the great contrast between bloom and nonbloom regions was a major factor driving variation in growth rates, obscuring more subtle effects of food quality. GIs and DGRs decreased with increasing krill length and decreased above a temperature optimum of 0.5 degrees C. This probably reflects the onset of thermal stress at the northern limit of krill's range. Thus, growth rates were fastest in the ice edge blooms of the southern Scotia Sea and not at South Georgia as previously suggested. This reflects both the smaller size of the krill and the colder water in the south being optimum for growth. Males tended to have higher GIs than females but longer intermoult periods, leading to similar DGRs between sexes. DGRs of equivalent-size krill tended to decrease with maturity stage, suggesting the progressive allocation of energy toward reproduction rather than somatic growth. Our maximum DGRs are higher than most literature values, equating to a 5.7% increase in mass per day. This value fits within a realistic energy budget, Suggesting a maximum carbon ration of similar to 20% d(-1). Over the whole Scotia Sea/South Georgia area, the gross turnover of krill biomass was similar to 1% d(-1).</t>
  </si>
  <si>
    <t>British Antarctic Survey, NERC, Cambridge CB3 0ET, England; Ctr Ecol &amp; Hydrol, Nat Environm Res Council, Huntingdon PE28 2LS, England</t>
  </si>
  <si>
    <t>UK Research &amp; Innovation (UKRI); Natural Environment Research Council (NERC); NERC British Antarctic Survey; UK Centre for Ecology &amp; Hydrology (UKCEH); UK Research &amp; Innovation (UKRI); Natural Environment Research Council (NERC)</t>
  </si>
  <si>
    <t>aat@bas.ac.uk</t>
  </si>
  <si>
    <t>Hirst, Andrew G/A-6296-2013; murphy, eugene/GZL-1620-2022; Atkinson, Angus/HOH-3417-2023</t>
  </si>
  <si>
    <t>10.4319/lo.2006.51.2.0973</t>
  </si>
  <si>
    <t>WOS:000236343600017</t>
  </si>
  <si>
    <t>Wand, U; Samarkin, VA; Nitzsche, HM; Hubberten, HW</t>
  </si>
  <si>
    <t>Biogeochemistry of methane in the permanently ice-covered Lake Untersee, central Dronning Maud Land, East Antarctica</t>
  </si>
  <si>
    <t>FRESH-WATER ENVIRONMENTS; ANOXIC MARINE SEDIMENT; SULFATE REDUCTION; STABLE CARBON; ACETATE FERMENTATION; PROFUNDAL SEDIMENT; HYDROGEN ISOTOPES; MEROMICTIC LAKE; DEEP LAKES; ACE LAKE</t>
  </si>
  <si>
    <t>We found unprecedentedly high abundances of microbially produced CH(4) in the anoxic deep waters of Lake Untersee, an oligotrophic, perennially ice-covered Antarctic freshwater lake. The maximum CH(4) concentration (approaching 21.8 +/- 1.4 mmol L(-1)) is one of the highest observed so far in a natural aquatic ecosystem. Although surficial lake sediments are the predominant source of CH(4) in Lake Untersee, methanogenesis occurs also within the anoxic waters. Radiocarbon labeling experiments show that H(2)/CO(2) reduction is the predominant methanogenic pathway (90-100%) both in the sediments and the water column, whereas acetate is only a minor CH(4) precursor. This result is consistent with the stable carbon isotope fractionation between coexisting CH(4) and CO(2). In the water column, CH(4) is partly consumed by both aerobic and anaerobic microbial oxidation as evidenced by CH(4) concentration patterns, stable isotope analyses ((13)C, (2)H), and (14)C-CH(4) assays. Dissimilatory sulfate reduction also occurs and peaks at 84 m water depth (1.83 mu mol SO(4) L(-1) d(-1)). Intense methanogenesis in surficial lake sediments, diffusion of CH(4) from sediments to the water column, additional CH(4) production in the water column, gross CH(4) production higher than CH(4) consumption, and lack of mixing because of the permanent ice cover cause the exceptionally high CH(4) concentration in the take. Our studies demonstrate that H(2)/CO(2) reduction may sometimes be the major pathway of methanogenesis in low-sulfate freshwater environments even at low temperatures. This pathway is obviously more important in Antarctic lakes than hitherto assumed.</t>
  </si>
  <si>
    <t>Alfred Wegener Inst Polar &amp; Marine Res, D-27515 Bremerhaven, Germany; Univ Georgia, Sch Marine Programs, Aquat Biogeochem Lab, Athens, GA 30602 USA; Univ Leipzig, Inst Nonclass Chem, D-04318 Leipzig, Germany; Alfred Wegener Inst Polar &amp; Marine Res, Res Unit Potsdam, D-14401 Potsdam, Germany</t>
  </si>
  <si>
    <t>Helmholtz Association; Alfred Wegener Institute, Helmholtz Centre for Polar &amp; Marine Research; University System of Georgia; University of Georgia; Leipzig University; Helmholtz Association; Alfred Wegener Institute, Helmholtz Centre for Polar &amp; Marine Research</t>
  </si>
  <si>
    <t>Wand, U (corresponding author), Alfred Wegener Inst Polar &amp; Marine Res, POB 12 01 61, D-27515 Bremerhaven, Germany.</t>
  </si>
  <si>
    <t>10.4319/lo.2006.51.2.1180</t>
  </si>
  <si>
    <t>WOS:000236343600038</t>
  </si>
  <si>
    <t>Hall, JK</t>
  </si>
  <si>
    <t>GEBCO Centennial Special Issue - Charting the secret world of the ocean floor: the GEBCO project 1903-2003</t>
  </si>
  <si>
    <t>MARINE GEOPHYSICAL RESEARCHES</t>
  </si>
  <si>
    <t>bathymetry; gridding; mapping; satellite</t>
  </si>
  <si>
    <t>EAST PACIFIC RISE; SATELLITE ALTIMETRY; MAP SERIES; FLANKS; RIDGE; BATHYMETRY</t>
  </si>
  <si>
    <t>This special issue of Marine Geophysical Researches presents five papers dealing with GEBCO, the General Bathymetric Chart of the Oceans, which celebrated its Centennial in April 2003, hosted by the International Hydrographic Bureau and the Principality of Monaco. Over the past 103 years GEBCO has been the sole body dedicated to compiling all available data to produce standardized maps of the oceans and seas covering 71% of planet Earth. Over time GEBCO has undergone a complete transformation as sparse 500 m contours on paper charts were replaced by digital grids with ever-increasing resolution. The 2003 Centennial saw the release on two CDROMS with the first global 1' grid, produced by methods unheard of in 1984, when GEBCO's last 6th Edition paper chart set was published. In GEBCO's second century, the thrust is towards global grids that will capture the resolutions available with evolving deep-water swath mapping technologies, as well as vast improvement in the details of the shallow continental shelves that have traditionally been the preserve of the hydrographic community. As little more than 10% of the oceans have been mapped to the desired level of detail, there is much to be done. However refinements in satellite altimetry appear to offer an interim stop-gap as more multi-beam sonars ply the oceans and as the littoral countries of the world map their adjacent marine areas for submission under Article 76 of UNCLOS (United Nations, 1983, 1999). In addition GEBCO is becoming increasingly proactive, with outreach to the public via the internet and a new GEBCO Map of the World, active data-scrounging, and encouraging development of the first drifting buoys for acquiring data in the inaccessible areas of the Antarctic, SW Pacific, and Arctic Oceans.</t>
  </si>
  <si>
    <t>Geol Survey Israel, Mapping &amp; Tecton Div, IL-95501 Jerusalem, Israel</t>
  </si>
  <si>
    <t>Geological Survey Israel</t>
  </si>
  <si>
    <t>Hall, JK (corresponding author), Geol Survey Israel, Mapping &amp; Tecton Div, 30 Malchei Israel St, IL-95501 Jerusalem, Israel.</t>
  </si>
  <si>
    <t>jkh1@012.net.il</t>
  </si>
  <si>
    <t>10.1007/s11001-006-8181-4</t>
  </si>
  <si>
    <t>041EZ</t>
  </si>
  <si>
    <t>WOS:000237437700001</t>
  </si>
  <si>
    <t>Erceg, D</t>
  </si>
  <si>
    <t>Deterring IUU fishing through state control over nationals</t>
  </si>
  <si>
    <t>MARINE POLICY</t>
  </si>
  <si>
    <t>illegal; unreported and unregulated fishing; nationals</t>
  </si>
  <si>
    <t>Existing measures are necessary, but not sufficient, to deter Illegal, Unreported and Unregulated (IUU) fishing. Several States have responded to recent calls for national action to ensure that nationals subject to their jurisdiction do not support or engage in these activities. This paper discusses the issues that face Regional Fisheries Management Organisations (RFMOs) and their member States in developing and implementing legal and administrative measures to deter nationals from involvement in IUU fishing. (c) 2005 Elsevier Ltd. All rights reserved.</t>
  </si>
  <si>
    <t>Univ Tasmania, Inst Antarctic &amp; So Ocean Studies, Hobart, Tas 7001, Australia</t>
  </si>
  <si>
    <t>Univ Tasmania, Inst Antarctic &amp; So Ocean Studies, GPO Box 252-77, Hobart, Tas 7001, Australia.</t>
  </si>
  <si>
    <t>diane.erceg@aad.gov.au</t>
  </si>
  <si>
    <t>0308-597X</t>
  </si>
  <si>
    <t>1872-9460</t>
  </si>
  <si>
    <t>MAR POLICY</t>
  </si>
  <si>
    <t>Mar. Pol.</t>
  </si>
  <si>
    <t>10.1016/j.marpol.2004.11.004</t>
  </si>
  <si>
    <t>Environmental Studies; International Relations</t>
  </si>
  <si>
    <t>Environmental Sciences &amp; Ecology; International Relations</t>
  </si>
  <si>
    <t>016UG</t>
  </si>
  <si>
    <t>WOS:000235645400006</t>
  </si>
  <si>
    <t>Jabour, J</t>
  </si>
  <si>
    <t>High latitude diplomacy: Australia's Antarctic extended continental shelf</t>
  </si>
  <si>
    <t>Jabour, J (corresponding author), Univ Tasmania, Inst Antarctic &amp; So Ocean Studies, Private Bag 77, Hobart, Tas 7001, Australia.</t>
  </si>
  <si>
    <t>julia.jabour@utas.edu.au</t>
  </si>
  <si>
    <t>Jabour, Julia A/J-7882-2014</t>
  </si>
  <si>
    <t>10.1016/j.marpol.2004.12.001</t>
  </si>
  <si>
    <t>WOS:000235645400009</t>
  </si>
  <si>
    <t>Folco, L; Rochette, P; Gattacceca, M; Perchiazzi, N</t>
  </si>
  <si>
    <t>In situ identification, pairing, and classification of meteorites from Antarctica through magnetic susceptibility measurements</t>
  </si>
  <si>
    <t>CALIBRATION; CHONDRITES; BULLETIN; ORIGIN</t>
  </si>
  <si>
    <t>We report on the effectiveness of using magnetic measurements in the search for meteorites on the Antarctic ice sheet, which is thus far the Earth's most productive terrain. Magnetic Susceptibility measurements carried Out with a pocket meter (SM30) during the 2003/04 PNRA meteorite collection expedition to northern Victoria Land (Antarctica) proved to be a rapid, sensitive, non-destructive means for the ill Situ identification, pairing, and classification of meteorites. In blue ice fields characterized by the presence of moraines and glacial drifts (e.g., Miller Butte, Roberts Butte, and Frontier Mountain), magnetic susceptibility measurements allowed discrimination of meteorites from abundant terrestrial stones that look like meteorites thanks to the relatively high magnetic Susceptibility of the former with respect to terrestrial rocks. Comparative measurements helped identify 16 paired fragments found at Johannessen Nunataks, thereby reducing unnecessary duplication of laboratory analyses and statistical bias. Following classifications schemes developed by LIS in this and previous works, magnetic susceptibility measurements also helped classify stony meteorites directly in the field, thereby providing a means for selecting samples with higher research priority. A magnetic gradiometer capable of detecting perturbations in the Earth's magnetic field induced by the presence of meteorites was an efficient tool for locating meteorites buried in snow along the downwind margin of the Frontier Mountain blue ice Field. Based on these results, we believe that magnetic sensors Should constitute an additional payload for robotic search for meteorites on the Antarctic ice sheet and, by extension, on the Surface of Mars where meteorite accumulations are predicted by theoretical works. Lastly, magnetic Susceptibility data was successfully Used to crosscheck the later petrographic classification of the 123 recovered meteorites, allowing the detection of misclassified or Peculiar specimens.</t>
  </si>
  <si>
    <t>Univ Aix Marseille 3, CEREGE, F-13628 Aix En Provence, France; Museo Nazl Antartide, Siena, Italy; Univ Pisa, Dipartimento Sci Terra, I-56100 Pisa, Italy</t>
  </si>
  <si>
    <t>Aix-Marseille Universite; University of Pisa</t>
  </si>
  <si>
    <t>Folco, L (corresponding author), Univ Aix Marseille 3, CEREGE, F-13628 Aix En Provence, France.</t>
  </si>
  <si>
    <t>folco@unisi.it</t>
  </si>
  <si>
    <t>Perchiazzi, Natale/A-9578-2018; Gattacceca, Jerome/AAG-5651-2019; Folco, Luigi/AAB-8586-2021; Folco, Luigi/AAA-6351-2020; Rochette, Pierre/O-4612-2019</t>
  </si>
  <si>
    <t>Perchiazzi, Natale/0000-0003-3229-2282; Gattacceca, Jerome/0000-0002-1639-7140; Rochette, Pierre/0000-0002-7362-0660; Folco, Luigi/0000-0002-7276-3483</t>
  </si>
  <si>
    <t>10.1111/j.1945-5100.2006.tb00467.x</t>
  </si>
  <si>
    <t>029ZN</t>
  </si>
  <si>
    <t>WOS:000236603000002</t>
  </si>
  <si>
    <t>Morgan-Kiss, RM; Priscu, JC; Pocock, T; Gudynaite-Savitch, L; Huner, NPA</t>
  </si>
  <si>
    <t>Adaptation and acclimation of photosynthetic microorganisms to permanently cold environments</t>
  </si>
  <si>
    <t>MICROBIOLOGY AND MOLECULAR BIOLOGY REVIEWS</t>
  </si>
  <si>
    <t>ANTARCTIC SEA-ICE; LIGHT-HARVESTING COMPLEX; MCMURDO DRY VALLEYS; POLYUNSATURATED FATTY-ACIDS; ALGA CHLAMYDOMONAS-NIVALIS; CYANOBACTERIUM PLECTONEMA-BORYANUM; INORGANIC NITROGEN UPTAKE; CAB MESSENGER-RNA; PHOTOSYSTEM-II; ELECTRON-TRANSPORT</t>
  </si>
  <si>
    <t>Persistently cold environments constitute one of our worlds largest ecosystems, and microorganisms dominate the biomass and metabolic activity in these extreme environments. The stress of low temperatures on life is exacerbated in organisms that rely on photoautrophic production of organic carbon and energy sources. Phototrophic organisms must coordinate temperature-independent reactions of light absorption and photochemistry with temperature-dependent processes of electron transport and utilization of energy sources through growth and metabolism. Despite this conundrum, phototrophic microorganisms thrive in all cold ecosystems described and (together with chemoautrophs) provide the base of autotrophic production in low-temperature food webs. Psychrophilic (organisms with a requirement for low growth temperatures) and psychrotolerant (organisms tolerant of low growth temperatures) photoautotrophs rely on low-temperature acclimative and adaptive strategies that have been described for other low-temperature-adapted heterotrophic organisms, such as cold-active proteins and maintenance of membrane fluidity. In addition, photoautrophic organisms possess other strategies to balance the absorption of light and the transduction of light energy to stored chemical energy products (NADPH and ATP) with downstream consumption of photosynthetically derived energy products at low temperatures. Lastly, differential adaptive and acclimative mechanisms exist in phototrophic microorganisms residing in low-temperature environments that are exposed to constant low-light environments versus high-light- and high-UV-exposed phototrophic assemblages.</t>
  </si>
  <si>
    <t>Univ Illinois, Dept Microbiol, Urbana, IL 61801 USA; Montana State Univ, Dept Land Resources &amp; Environm Sci, Bozeman, MT 59717 USA; Mid Sweden Univ, Dept Nat Sci, Sundsvall, Sweden; Agr &amp; Agri Food Canada, ECORC, Ottawa, ON K1A 0C6, Canada; Univ Western Ontario, Dept Biol, London, ON N6A 5B7, Canada; Univ Western Ontario, Biotron, London, ON N6A 5B7, Canada</t>
  </si>
  <si>
    <t>University of Illinois System; University of Illinois Urbana-Champaign; Montana State University System; Montana State University Bozeman; Mid-Sweden University; Agriculture &amp; Agri Food Canada; Western University (University of Western Ontario); Western University (University of Western Ontario)</t>
  </si>
  <si>
    <t>Univ Delaware, Grad Coll Marine Studies, Newark, DE 19711 USA.</t>
  </si>
  <si>
    <t>CSubcandata@hotmail.com</t>
  </si>
  <si>
    <t>1092-2172</t>
  </si>
  <si>
    <t>1098-5557</t>
  </si>
  <si>
    <t>MICROBIOL MOL BIOL R</t>
  </si>
  <si>
    <t>Microbiol. Mol. Biol. Rev.</t>
  </si>
  <si>
    <t>10.1128/MMBR.70.1.222-252.2006</t>
  </si>
  <si>
    <t>027IY</t>
  </si>
  <si>
    <t>WOS:000236410100008</t>
  </si>
  <si>
    <t>Van Houdt, JKJ; Hellemans, B; Van de Putte, A; Koubbi, P; Volckaert, FAM</t>
  </si>
  <si>
    <t>Isolation and multiplex analysis of six polymorphic microsatellites in the Antarctic notothenioid fish, Trematomus newnesi</t>
  </si>
  <si>
    <t>MOLECULAR ECOLOGY NOTES</t>
  </si>
  <si>
    <t>Antarctic; microsatellite; Nototheniidae; nuclear marker; Trematomids</t>
  </si>
  <si>
    <t>Six polymorphic microsatellites were isolated from the dusky notothen, Trematomus newnesi (Boulenger 1902), using a microsatellite enrichment protocol and selective hybridization with di- tetra- and penta-repeat probes. The loci were screened in 48 individuals captured in the Southern Ocean (coastal zone of Terre-Adelie), revealing eight to 22 alleles per locus and an observed heterozygosity ranging from 0.70 to 0.92. These microsatellite markers provide a tool to study the relationship between the various morphs observed in this species and can be used for population genetic analysis and biodiversity studies.</t>
  </si>
  <si>
    <t>Katholieke Univ Leuven, Lab Aquat Ecol, B-3000 Louvain, Belgium; Univ Littoral Cote Opale, UMR 8013, ELICO, F-62930 Wimereux, France</t>
  </si>
  <si>
    <t>KU Leuven; Universite du Littoral-Cote-d'Opale</t>
  </si>
  <si>
    <t>Van Houdt, JKJ (corresponding author), Katholieke Univ Leuven, Lab Aquat Ecol, Ch Beriotstr 32, B-3000 Louvain, Belgium.</t>
  </si>
  <si>
    <t>jeroen.vanhoudt@bio.kuleuven.de</t>
  </si>
  <si>
    <t>Van de Putte, Anton/S-3729-2019; Koubbi, Philippe/D-5873-2015; Van de Putte, Anton P/F-6877-2012; Volckaert, Filip/AAC-7691-2019; Hellemans, Bart/AAK-3768-2020</t>
  </si>
  <si>
    <t>Van de Putte, Anton/0000-0003-1336-5554; Hellemans, Bart/0000-0001-5963-8074</t>
  </si>
  <si>
    <t>1471-8278</t>
  </si>
  <si>
    <t>MOL ECOL NOTES</t>
  </si>
  <si>
    <t>Mol. Ecol. Notes</t>
  </si>
  <si>
    <t>10.1111/j.1471-8286.2005.01174.x</t>
  </si>
  <si>
    <t>017XC</t>
  </si>
  <si>
    <t>WOS:000235725600049</t>
  </si>
  <si>
    <t>Papetti, C; Zane, L; Patarnello, T</t>
  </si>
  <si>
    <t>Isolation and characterization of microsatellite loci in the icefish Chionodraco rastrospinosus (Perciformes, Notothenioidea, Channichthyidae)</t>
  </si>
  <si>
    <t>Chionodraco rastrospinosus; Notothenioidea; microsatellites; FIASCO</t>
  </si>
  <si>
    <t>We characterized eight polymorphic microsatellites in the icefish Chionodraco rastrospinosus (Perciformes, Notothenioidea, Channichthyidae). Microsatellites were isolated from a partial genomic library enriched for an AC motif. Chionodraco rastrospinosus is an endemic species inhabiting southern ocean waters surrounding the Antarctic Peninsula, the South Shetland Islands, and the South Orkney Islands. An excess of homozygotes was observed in seven out of the eight investigated loci; however, presence of null alleles was detected only for three of them suggesting that other factors may act in reducing heterozygosity. These molecular markers will be useful to investigate icefish genetic structure, possibly providing insights on its effective population size and demographic history.</t>
  </si>
  <si>
    <t>Univ Padua, Dept Biol, I-35121 Padua, Italy; Univ Padua, Dept Publ Hlth Comparat Pathol &amp; Vet Hyg, I-35020 Legnaro, PD, Italy</t>
  </si>
  <si>
    <t>University of Padua; University of Padua</t>
  </si>
  <si>
    <t>Univ Padua, Dept Biol, Via U Bassi 58-B, I-35121 Padua, Italy.</t>
  </si>
  <si>
    <t>tomaso.patarnello@unipd.it</t>
  </si>
  <si>
    <t>Zane, Lorenzo/G-6249-2010</t>
  </si>
  <si>
    <t>Zane, Lorenzo/0000-0002-6963-2132; PATARNELLO, Tomaso/0000-0003-1794-5791; Papetti, Chiara/0000-0002-4567-459X</t>
  </si>
  <si>
    <t>10.1111/j.1471-8286.2005.01194.x</t>
  </si>
  <si>
    <t>WOS:000235725600066</t>
  </si>
  <si>
    <t>Jarman, SN; Redd, KS; Gales, NJ</t>
  </si>
  <si>
    <t>Group-specific primers for amplifying DNA sequences that identify Amphipoda, Cephalopoda, Echinodermata, Gastropoda, Isopoda, Ostracoda and Thoracica</t>
  </si>
  <si>
    <t>diet; diversity; identification; mixed; taxonomy</t>
  </si>
  <si>
    <t>We describe seven group-specific primer pairs that amplify small sections of ribosomal RNA genes suitable for identification of animal groups of major importance as prey items in marine ecosystems. These primer sets allow the isolation of DNA from the target animal groups from mixed pools of DNA, where DNA-based identification using universal primers is unlikely to succeed. The primers are designed for identifying prey in animal diets, but could be used in any situation where these animal groups are to be identified by their DNA.</t>
  </si>
  <si>
    <t>Australian Antarctic Div, Dept Environm &amp; Heritage, Kingston, Tas 7050, Australia; Univ Tasmania, Marine Res Labs, Tasmanian Aquaculture &amp; Fisheries Inst, Hobart, Tas 7000, Australia</t>
  </si>
  <si>
    <t>Australian Antarctic Div, Dept Environm &amp; Heritage, 203 Channel Highway, Kingston, Tas 7050, Australia.</t>
  </si>
  <si>
    <t>simon.jarman@aad.gov.au</t>
  </si>
  <si>
    <t>Jarman, Simon/H-9265-2016</t>
  </si>
  <si>
    <t>Jarman, Simon/0000-0002-0792-9686</t>
  </si>
  <si>
    <t>10.1111/j.1471-8286.2005.01172.x</t>
  </si>
  <si>
    <t>WOS:000235725600084</t>
  </si>
  <si>
    <t>Zyryanov, DV; Smirnov, VN</t>
  </si>
  <si>
    <t>Zyryanov, D. V.; Smirnov, V. N.</t>
  </si>
  <si>
    <t>Study of the ice conditions in the Gulf of Ob</t>
  </si>
  <si>
    <t>The results of theoretical studies of fracture lines in the ice floes of the Gulf of Ob as a function of the coefficient of internal sliding are presented in this paper. An estimate of the fractal dimensions of the emerging topological structures and the results of the calculation of stresses in the ice cover of the Gulf of Ob are presented as functions of different directions of external forcing caused by the joint action of winds and currents on the ice. The geographical locations of the zones of possible loads are shown, together with the estimates of the hummock sizes in the zones of the maximal compression of the ice floes in the Gulf of Ob.</t>
  </si>
  <si>
    <t>Russian Acad Sci, Inst Water Problems, Moscow 103064, Russia; Arctic &amp; Antarctic Res Inst, St Petersburg 199226, Russia</t>
  </si>
  <si>
    <t>Russian Academy of Sciences; Institute of Water Problems of the Russian Academy of Sciences; Arctic &amp; Antarctic Research Institute</t>
  </si>
  <si>
    <t>Zyryanov, DV (corresponding author), Russian Acad Sci, Inst Water Problems, Moscow 103064, Russia.</t>
  </si>
  <si>
    <t>10.1134/S0001437006020044</t>
  </si>
  <si>
    <t>156MF</t>
  </si>
  <si>
    <t>WOS:000245652000004</t>
  </si>
  <si>
    <t>Hamill, P; Redemann, J</t>
  </si>
  <si>
    <t>Hamill, Patrick; Redemann, Jens</t>
  </si>
  <si>
    <t>Validation of Satellite Borne Lidar Systems by Ground Based and Airborne Instruments</t>
  </si>
  <si>
    <t>OPTICA PURA Y APLICADA</t>
  </si>
  <si>
    <t>lidar; satellite; aerosols; clouds; validation</t>
  </si>
  <si>
    <t>Two satellite borne lidar systems to measure atmospheric parameters have been deployed and one is scheduled for launch this year. The first system was LITE a proof of concept lidar on Space Shuttle mission STS-64 in September 1994. The second is the GLAS system on ICESat, whose purpose is primarily to measure changes in elevation of the Greenland and Antarctic ice sheets, but it also gives determinations of cloud heights and the vertical structure of clouds and aerosols. The CALIPSO satellite, which will be a part of the A-train constellation of satellites, has three instrument on board. One of these is CALIOP, a lidar system dedicated to studies of aerosols and clouds. We describe these three systems and validations of their science products.</t>
  </si>
  <si>
    <t>[Hamill, Patrick] San Jose State Univ, Dept Phys, San Jose, CA 95192 USA; [Redemann, Jens] Bay Area Environm Res Inst, Sonoma, CA USA</t>
  </si>
  <si>
    <t>California State University System; San Jose State University</t>
  </si>
  <si>
    <t>Hamill, P (corresponding author), San Jose State Univ, Dept Phys, San Jose, CA 95192 USA.</t>
  </si>
  <si>
    <t>SOC ESPANOLA OPTICA</t>
  </si>
  <si>
    <t>SERRANO, 121, MADRID, 28006, SPAIN</t>
  </si>
  <si>
    <t>0030-3917</t>
  </si>
  <si>
    <t>2171-8814</t>
  </si>
  <si>
    <t>OPT PURA APL</t>
  </si>
  <si>
    <t>Opt. Pura Apl.</t>
  </si>
  <si>
    <t>V7A8X</t>
  </si>
  <si>
    <t>WOS:000420792600010</t>
  </si>
  <si>
    <t>Tedetti, M; Sempéré, R</t>
  </si>
  <si>
    <t>Penetration of ultraviolet radiation in the marine environment.: A review</t>
  </si>
  <si>
    <t>DISSOLVED ORGANIC-MATTER; SOLAR UV-RADIATION; INDUCED DNA-DAMAGE; OPTICAL-PROPERTIES; B RADIATION; PHOTOCHEMICAL PRODUCTION; BIOOPTICAL FACTORS; CARBOXYLIC-ACIDS; COASTAL WATERS; SURFACE WATERS</t>
  </si>
  <si>
    <t>UV radiation (UVR) is a significant ecological factor in the marine environment that can have important effects on planktonic organisms and dissolved organic matter (DOM). The penetration of UVR into the water column is likely to change in the near future due to interactions between global warming and ozone depletion. In this study we report underwater instruments employed for the measurement of UVR and we review data dealing with the depth of UVR penetration in different oceanic areas including the open ocean, Antarctic waters and coastal waters. We provide the 10% irradiance depth (Z10%) for UV-A and UV-B as well as for DNA damage effective dose (DNA), which we calculated from the values of diffuse attenuation coefficients or vertical profiles reported in the literature. We observe a clear distinction between open ocean (high Z10%, no variation in the ratio UV-B/UV-A), Antarctic waters (increase in the ratio UV-B/UV-A during ozone hole conditions) and coastal waters (low Z10%, no variation in the ratio UV-B/UV-A). These variations in the penetration of UVR could lead to differences in the relative importance of photobiological/photochemical processes. We also compare in this study the penetration of UV-B (unweighted and weighted by the Setlow action spectrum) and DNA damage effective dose.</t>
  </si>
  <si>
    <t>Univ Mediterranee, CNRS, INSU, Ctr Oceanol Marseille,UMR 6117,Lab Microbiol Geoc, Marseille, France</t>
  </si>
  <si>
    <t>Aix-Marseille Universite; Centre National de la Recherche Scientifique (CNRS); CNRS - National Institute for Earth Sciences &amp; Astronomy (INSU)</t>
  </si>
  <si>
    <t>Univ Mediterranee, CNRS, INSU, Ctr Oceanol Marseille,UMR 6117,Lab Microbiol Geoc, Marseille, France.</t>
  </si>
  <si>
    <t>sempere@com.univ-mrs.fr</t>
  </si>
  <si>
    <t>Sempere, Richard/ABE-9977-2020; Tedetti, Marc/J-8100-2016; Tedetti, Marc/V-1412-2019</t>
  </si>
  <si>
    <t>Sempere, Richard/0000-0002-2956-0998; Tedetti, Marc/0000-0003-3212-6890; Tedetti, Marc/0000-0003-3212-6890</t>
  </si>
  <si>
    <t>10.1562/2005-11-09-IR-733</t>
  </si>
  <si>
    <t>036CK</t>
  </si>
  <si>
    <t>WOS:000237048300008</t>
  </si>
  <si>
    <t>Liu, CL; Huang, XH; Wang, XL; Zhang, XC; Li, GY</t>
  </si>
  <si>
    <t>Phylogenetic studies on two strains of Antarctic ice algae based on morphological and molecular characteristics</t>
  </si>
  <si>
    <t>Antarctic ice algae; morphology; phylogeny</t>
  </si>
  <si>
    <t>CHLAMYDOMONAS CHLOROPHYTA; 18S RDNA; DNA; CHLOROMONAS; VOLVOCALES; SEQUENCES; SUBSTITUTION; REVISION; MODEL</t>
  </si>
  <si>
    <t>The taxonomic characterization of two strains of Antarctic ice algae, Chlamydomonas sp. ICE-L and Chlamydomonas sp. ICE-W, were analyzed on the basis of morphological and molecular traits. The results indicate that they are the same species and belong to Chlamydomonas (Chlorophyta). According to I SS rDNA and ITS-I sequences they are very close relatives of Chlamydomonas sp. Antarctic 2E9, if not identified as such. They belong to the 'monadina clade', Cd. monadina and Cm. subdivisa as the sister group, on the basis of 18S rDNA sequence. They occur in 'Chlamydomonas clade' according to rbcL sequencing and are close relatives of Cd. kuwadae. The ITS sequences of ICE-L and ICE-W are 1302 base pairs and 1300 base pairs in length, the longest Volvocales ITS sequences ever reported.</t>
  </si>
  <si>
    <t>State Ocean Adm, Inst Oceanog 1, Marine Bioact Subst Lab, Qingdao 266061, Peoples R China; Ocean Univ China, Dept Life Sci, Qingdao 266004, Peoples R China; Chinese Acad Sci, Inst Oceanol, Qingdao 266071, Peoples R China</t>
  </si>
  <si>
    <t>First Institute of Oceanography, Ministry of Natural Resources; Ocean University of China; Chinese Academy of Sciences; Institute of Oceanology, CAS</t>
  </si>
  <si>
    <t>State Ocean Adm, Inst Oceanog 1, Marine Bioact Subst Lab, Qingdao 266061, Peoples R China.</t>
  </si>
  <si>
    <t>xiaohanghuang@yahoo.ca</t>
  </si>
  <si>
    <t>Wang, Xiuliang/0000-0003-4262-0083</t>
  </si>
  <si>
    <t>ALLEN PRESS INC</t>
  </si>
  <si>
    <t>810 E 10TH ST, LAWRENCE, KS 66044 USA</t>
  </si>
  <si>
    <t>10.2216/03-88.1</t>
  </si>
  <si>
    <t>020VK</t>
  </si>
  <si>
    <t>WOS:000235940800009</t>
  </si>
  <si>
    <t>McKamey, KA; Amsler, CD</t>
  </si>
  <si>
    <t>Effects of temperature and light on growth of the Antarctic algae Geminocarpus geminatus (Ectocarpales: Phaeophyceae) and Cladophora repens (Cladophorales: Cladophorophyceae) in culture</t>
  </si>
  <si>
    <t>Antarctica; Cladophora repens; culture; Geminocarpus geminatus; irradiance; photoperiod; temperature</t>
  </si>
  <si>
    <t>LONG-TERM CULTURE; SIGNY-ISLAND; MACROALGAE; BIOMASS; DESMARESTIALES; REQUIREMENTS; ASSOCIATIONS; SEASONALITY; COVER; RED</t>
  </si>
  <si>
    <t>This study investigated the effects of temperature, photoperiod and irradiance on the growth rates of two species of filamentous Antarctic macroalgae. Geminocarpus geminatus and Cladophora repens both had low temperature requirements for growth of only -1.5 degrees C, which is the lowest documented to date. Geminocarpus geminatus grew with normal development and morphology at -1.5 degrees C, + 1.5 degrees C and +4.0 degrees C. Although G. geminatus was able to survive at + 8.0 degrees C, its morphology was not normal. Cladophora repens was more eurythermal in comparison with G. geminatus, growing with normal development and morphology at - 1.5 degrees C, + 1.5 degrees C, +4.0 degrees C and +8.0 degrees C and with an ability to survive at + 12.0 degrees C, although with abnormal morphology. Temperature, photoperiod,and irradiance all played important and interactive roles in both growth rates and morphology of G. geminatus and G. repens. Geminocarpus geminatus appeared to have a direct life-history.</t>
  </si>
  <si>
    <t>Univ Alabama Birmingham, Dept Biol, Birmingham, AL 35294 USA</t>
  </si>
  <si>
    <t>University of Alabama System; University of Alabama Birmingham</t>
  </si>
  <si>
    <t>Univ Alabama Birmingham, Dept Biol, Birmingham, AL 35294 USA.</t>
  </si>
  <si>
    <t>amsler@uab.edu</t>
  </si>
  <si>
    <t>10.2216/04-75.1</t>
  </si>
  <si>
    <t>WOS:000235940800013</t>
  </si>
  <si>
    <t>Pörtner, HO; Bennett, AF; Bozinovic, F; Clarke, A; Lardies, MA; Lucassen, M; Pelster, B; Schiemer, F; Stillman, JH</t>
  </si>
  <si>
    <t>Trade-offs in thermal adaptation:: The need for a molecular to ecological integration</t>
  </si>
  <si>
    <t>3rd International Conference for Comparative Physiology and Biochemistry</t>
  </si>
  <si>
    <t>Zululand, SOUTH AFRICA</t>
  </si>
  <si>
    <t>TEMPERATURE-DEPENDENT BIOGEOGRAPHY; INTERTIDAL PORCELAIN CRABS; METABOLIC COLD ADAPTATION; LIFE-HISTORY VARIATION; ESCHERICHIA-COLI; OXYGEN LIMITATION; CLIMATE-CHANGE; EVOLUTIONARY ADAPTATION; CARDIOVASCULAR-SYSTEM; PHYSIOLOGICAL-BASIS</t>
  </si>
  <si>
    <t>Through functional analyses, integrative physiology is able to link molecular biology with ecology as well as evolutionary biology and is thereby expected to provide access to the evolution of molecular, cellular, and organismic functions; the genetic basis of adaptability; and the shaping of ecological patterns. This paper compiles several exemplary studies of thermal physiology and ecology, carried out at various levels of biological organization from single genes ( proteins) to ecosystems. In each of those examples, trade-offs and constraints in thermal adaptation are addressed; these trade-offs and constraints may limit species' distribution and define their level of fitness. For a more comprehensive understanding, the paper sets out to elaborate the functional and conceptual connections among these independent studies and the various organizational levels addressed. This effort illustrates the need for an overarching concept of thermal adaptation that encompasses molecular, organellar, cellular, and whole-organism information as well as the mechanistic links between fitness, ecological success, and organismal physiology. For this data, the hypothesis of oxygen-and capacity-limited thermal tolerance in animals provides such a conceptual framework and allows interpreting the mechanisms of thermal limitation of animals as relevant at the ecological level. While, ideally, evolutionary studies over multiple generations, illustrated by an example study in bacteria, are necessary to test the validity of such complex concepts and underlying hypotheses, animal physiology frequently is constrained to functional studies within one generation. Comparisons of populations in a latitudinal cline, closely related species from different climates, and ontogenetic stages from riverine clines illustrate how evolutionary information can still be gained. An understanding of temperature-dependent shifts in energy turnover, associated with adjustments in aerobic scope and performance, will result. This understanding builds on a mechanistic analysis of the width and location of thermal windows on the temperature scale and also on study of the functional properties of relevant proteins and associated gene expression mechanisms.</t>
  </si>
  <si>
    <t>Alfred Wegener Inst Polar &amp; Marine Res, D-27515 Bremerhaven, Germany; Univ Calif Irvine, Dept Ecol &amp; Evolut Biol, Irvine, CA 92697 USA; Pontificia Univ Catolica Chile, Ctr Estud Avanzados &amp; Ecol Biodiversidad, Santiago, Chile; Pontificia Univ Catolica Chile, Dept Ecol, Santiago, Chile; British Antarctic Survey, NERC, Cambridge CB3 0ET, England; Univ Innsbruck, Dept Zool, A-6020 Innsbruck, Austria; Univ Innsbruck, Ctr Mol Biosci, A-6020 Innsbruck, Austria; Univ Vienna, Dept Limnol, Vienna, Austria; San Francisco State Univ, Romberg Tiburon Ctr, Tiburon, CA 94920 USA</t>
  </si>
  <si>
    <t>Helmholtz Association; Alfred Wegener Institute, Helmholtz Centre for Polar &amp; Marine Research; University of California System; University of California Irvine; Pontificia Universidad Catolica de Chile; Pontificia Universidad Catolica de Chile; UK Research &amp; Innovation (UKRI); Natural Environment Research Council (NERC); NERC British Antarctic Survey; University of Innsbruck; University of Innsbruck; University of Vienna; California State University System; San Francisco State University</t>
  </si>
  <si>
    <t>Alfred Wegener Inst Polar &amp; Marine Res, Postfach 12 01 61, D-27515 Bremerhaven, Germany.</t>
  </si>
  <si>
    <t>Pörtner, Hans-O./ISU-9397-2023; Lardies, Marco A/R-6203-2017; Lucassen, Magnus/E-8433-2011; Pörtner, Hans-O./K-9429-2016; Lucassen, Magnus/ABA-8396-2021</t>
  </si>
  <si>
    <t>Lardies, Marco A/0000-0003-3525-1830; Pörtner, Hans-O./0000-0001-6535-6575; Lucassen, Magnus/0000-0003-4276-4781; Stillman, Jonathon/0000-0002-4783-3830</t>
  </si>
  <si>
    <t>10.1086/499986</t>
  </si>
  <si>
    <t>028EN</t>
  </si>
  <si>
    <t>WOS:000236469800009</t>
  </si>
  <si>
    <t>Isla, E; Gerdes, D; Palanques, A; Teixidó, N; Arntz, W; Puig, P</t>
  </si>
  <si>
    <t>Relationships between Antarctic coastal and deep-sea particle fluxes:: implications for the deep-sea benthos</t>
  </si>
  <si>
    <t>WESTERN BRANSFIELD STRAIT; SOUTHERN-OCEAN; BIOGENIC SILICA; MCMURDO-SOUND; ORGANIC-CARBON; SEDIMENT TRAP; ROSS SEA; COMMUNITIES; WEDDELL; BIOMASS</t>
  </si>
  <si>
    <t>Downward particle fluxes measured by means of sediment traps to a shallow semi-closed bay (Johnson's Dock, Livingston Island) and to a deep basin in the western Bransfield Strait (Antarctic Peninsula) showed the important role of glaciers as sediment carriers and suppliers to the ocean in a continent without major rivers such as Antarctica. The trap moored in Johnson's Dock collected coarse sediment (&gt; 1 mm mesh) not observed in the offshore traps, which mainly received fine sediment and faecal pellets. The annual total mass flux (TMF) to the coastal zone (15 m) was 900- and three times that to mid-depth (500 m) and near-bottom (1,000 m) traps, respectively. The fine sediment flux was especially important due to its biogenic particle contents. Despite the differences in TMF to the coastal zone and near the bottom in the deep basin, the organic carbon (OC) flux was similar in both environments (16 and 18 g m(-2), respectively), whereas biogenic silica (BSi) flux increased three times with depth (75 and 201 g m(-2), respectively). These fluxes imply that an important part of the particulate organic matter deposited in the coastal zone is advected basinward within the fine-particle flux. Thus, benthos in deep areas depends largely on the lateral transport of biogenic material produced in shallow environments near the coast. It is also proposed that the disintegration of Antarctic ice shelves and the consequent increment of ice calving may produce local devastations of ecological importance not only on the shallow but also on the rich Antarctic deep-sea benthic communities due to an increment of iceberg scouring and reduction of the organic matter supply.</t>
  </si>
  <si>
    <t>CSIC, Inst Ciencies Mar, CMIMA, Barcelona 08015, Spain; Alfred Wegener Inst Polar &amp; Marine Res, D-27568 Bremerhaven, Germany</t>
  </si>
  <si>
    <t>Isla, E (corresponding author), CSIC, Inst Ciencies Mar, CMIMA, Passeig Maritim Barceloneta 37-49, Barcelona 08015, Spain.</t>
  </si>
  <si>
    <t>eisla@icm.csic.es</t>
  </si>
  <si>
    <t>Palanques, Albert/C-2661-2013; Puig, Pere/E-5422-2013</t>
  </si>
  <si>
    <t>Puig, Pere/0000-0001-6189-5504; Isla, Enrique/0000-0003-4959-6936; Teixido, Nuria/0000-0001-9286-2852; Palanques, Albert/0000-0003-2544-2342</t>
  </si>
  <si>
    <t>10.1007/s00300-005-0046-9</t>
  </si>
  <si>
    <t>012VR</t>
  </si>
  <si>
    <t>WOS:000235369500001</t>
  </si>
  <si>
    <t>Casaux, R; Baroni, A; Ramón, A</t>
  </si>
  <si>
    <t>The diet of the weddell seal Leptonychotes weddellii at the Danco Coast, Antarctic Peninsula</t>
  </si>
  <si>
    <t>SOUTH SHETLAND ISLANDS; ARCTOCEPHALUS-GAZELLA; HARMONY-POINT; GEOGRAPHICAL VARIATION; FOOD; PREY; POPULATION; BEHAVIOR</t>
  </si>
  <si>
    <t>The diet of the Weddell Seal Leptonychotes weddellii at the Danco Coast, Antarctic Peninsula, was investigated by the analysis of 105 and 39 faeces collected at beaches surrounding Cierva Point during January-March 1998 and 2000, respectively. The diet was diverse and composed of both pelagic and benthic-demersal organisms. Fish, followed by cephalopods, constituted the bulk of the diet by number and mass. Among fish, Pleuragramma antarcticum, Chaenodraco wilsoni and Gobionotothen gibberifrons were the dominant fish by mass in 1998, whereas Chionodraco rastrospinosus, P. antarcticum and C. wilsoni predominated by mass in 2000. The contribution of channichthyid species to the diet of seals at the Danco Coast was higher than previously reported. Besides those species, the myctophid Electrona antarctica was also an important prey by number in the diet of seals in both summer seasons. The results are compared with information from other study areas and the possibility of using information on the diet of this seal as a gross indicator of fish availability/distribution is considered.</t>
  </si>
  <si>
    <t>Consejo Nacl Invest Cient &amp; Tecn, RA-1033 Buenos Aires, DF, Argentina; Univ Buenos Aires, Fac Farm &amp; Bioquim, Catedra Bromatol, RA-1113 Buenos Aires, DF, Argentina; Natl Univ La Plata, Fac Med, RA-1900 La Plata, Argentina; Inst Antartico Argentino, RA-1010 Buenos Aires, DF, Argentina</t>
  </si>
  <si>
    <t>Consejo Nacional de Investigaciones Cientificas y Tecnicas (CONICET); University of Buenos Aires; National University of La Plata; Instituto Antartico Argentino</t>
  </si>
  <si>
    <t>Casaux, R (corresponding author), LIESA, Ruta 259,Km 5, RA-9200 Esquel, Chubut, Argentina.</t>
  </si>
  <si>
    <t>10.1007/s00300-005-0048-7</t>
  </si>
  <si>
    <t>WOS:000235369500002</t>
  </si>
  <si>
    <t>Lake, S; Burton, H; Wotherspoon, S</t>
  </si>
  <si>
    <t>Movements of adult female Weddell seals during the winter months</t>
  </si>
  <si>
    <t>SOUTHERN ELEPHANT SEALS; LEPTONYCHOTES-WEDDELLII; FORAGING BEHAVIOR; EMPEROR PENGUINS; DIVING BEHAVIOR; MCMURDO SOUND; PACK ICE; SURVIVAL; ECOLOGY; OCEAN</t>
  </si>
  <si>
    <t>The focus of this study was the distribution of adult female Weddell seals during winter at the Vestfold Hills. Satellite tracking of Weddell seals had never been done before at this location. Hence, this was a pilot study to evaluate the following methods. We attached satellite transmitters to the lower back, where there was least potential to change the seals' behaviour or to damage instruments on the ice. Location data were obtained only where the seals hauled out, not necessarily where they were feeding. All locations were within the area of fast-ice that was associated with the Vestfold Hills. There were gaps of up to 30 days in the location data sets. Each instrument (n=3) remained attached and functioning for ca. 6 months. During that time, two of the three seals hauled out within small areas adjacent to, or nearby, open water. The same seals hauled out sporadically. We inferred that these seals foraged offshore whilst returning to fast-ice to rest. If Weddell seals forage beneath dynamic ice but return to stable ice as their preferred resting substrate, then evidence of haulout sites will always be a biased measure of foraging range. Tracking seals in the water may be possible using alternative placement of transmitters. However, there is potential for instruments to interfere with movement (breathing and prey capture). For this reason, we recommend a combination of sensors, diet and tracking haulout sites to research winter foraging.</t>
  </si>
  <si>
    <t>Univ Tasmania, Inst Antarctic &amp; So Ocean Studies, Hobart, Tas 7001, Australia; Univ Tasmania, Antarctic Wildlife Res Unit, Sch Zool, Hobart, Tas 7001, Australia; Australian Antarctic Div, Kingston, Tas 7005, Australia; Univ Tasmania, Dept Math &amp; Phys, Hobart, Tas 7001, Australia</t>
  </si>
  <si>
    <t>University of Tasmania; University of Tasmania; Australian Antarctic Division; University of Tasmania</t>
  </si>
  <si>
    <t>Univ Tasmania, Inst Antarctic &amp; So Ocean Studies, POB 252-77, Hobart, Tas 7001, Australia.</t>
  </si>
  <si>
    <t>se_lake@utas.edu.au</t>
  </si>
  <si>
    <t>10.1007/s00300-005-0050-0</t>
  </si>
  <si>
    <t>WOS:000235369500004</t>
  </si>
  <si>
    <t>Donnelly, J; Sutton, TT; Torres, JJ</t>
  </si>
  <si>
    <t>Distribution and abundance of micronekton and macrozooplankton in the NW Weddell Sea: relation to a spring ice-edge bloom</t>
  </si>
  <si>
    <t>KRILL EUPHAUSIA-SUPERBA; EASTERN SCOTIA SEA; MIDWATER FOOD WEB; COMMUNITY STRUCTURE; SOUTHERN-OCEAN; ZOOPLANKTON COMMUNITY; OCEANOGRAPHIC STRUCTURE; GELATINOUS-ZOOPLANKTON; ANTARCTIC ZOOPLANKTON; VERTICAL-DISTRIBUTION</t>
  </si>
  <si>
    <t>Micronekton and macrozooplankton were collected during the austral spring of 1993 in the NW Weddell Sea. Sampling was done in three areas of the marginal ice zone: pack ice, ice edge, and open water, to examine the short-term effects of the spring phytoplankton bloom on the distribution and abundance of dominant fish and invertebrate species. Significant differences were observed for several common species, including Salpa thompsoni,Euphausia superba, Electrona antarctica, Gymnoscopelus braueri,and G. opisthopterus. Increased abundance seaward of the pack ice for these species is attributed to elevated phytoplankton and zooplankton biomass at the ice edge and in the open water areas. Distribution of the hyperiid amphipods, Cyllopus lucasii and Vibilia stebbingi mirrored that of S. thompsoni. No distributional trends between the areas were observed for Thysanoessa macrura, the amphipods Cyphocaris richardi and Primno macropa, the decapod shrimp Pasiphaea scotiae, the scyphomedusae Atolla wyvilli and Periphylla periphylla, and chaetognaths, indicating a trophic independence from the ice-edge bloom for these species. Lower occurrence of the mesopelagic fish Bathylagus antarcticus and Cyclothone microdon under the ice suggested that trophic repercussions of the spring bloom can also extend to deeper living species.</t>
  </si>
  <si>
    <t>Univ S Florida, Coll Marine Sci, St Petersburg, FL 33701 USA; Harbor Branch Oceanog Inst Inc, Ft Pierce, FL 34946 USA</t>
  </si>
  <si>
    <t>State University System of Florida; University of South Florida; Harbor Branch Oceanographic Institute Foundation</t>
  </si>
  <si>
    <t>Donnelly, J (corresponding author), Univ S Florida, Coll Marine Sci, 140 7th Ave S, St Petersburg, FL 33701 USA.</t>
  </si>
  <si>
    <t>donnelly@marine.usf.edu</t>
  </si>
  <si>
    <t>Sutton, Tracey/AAW-7644-2021</t>
  </si>
  <si>
    <t>Sutton, Tracey/0000-0002-5280-7071</t>
  </si>
  <si>
    <t>10.1007/s00300-005-0051-z</t>
  </si>
  <si>
    <t>WOS:000235369500005</t>
  </si>
  <si>
    <t>Freire, AS; Absher, TM; Cruz-Kaled, AC; Kern, Y; Elbers, KL</t>
  </si>
  <si>
    <t>Seasonal variation of pelagic invertebrate larvae in the shallow Antarctic waters of Admiralty Bay (King George Island)</t>
  </si>
  <si>
    <t>BENTHIC MARINE-INVERTEBRATES; TERRA-NOVA BAY; MARTEL INLET; NEARSHORE ZONE; MCMURDO SOUND; TEMPERATURE; ABUNDANCE; SEA; REPRODUCTION; ZOOPLANKTON</t>
  </si>
  <si>
    <t>Recent studies have revealed increasing numbers of benthic invertebrate species producing pelagic larvae in Antarctic waters. This paper investigates temporal changes in larval abundance in shallow areas of Admiralty Bay. Plankton was collected from December to May of 2000/2001 and 2001/2002. Air and water temperature and solar radiation were significantly higher during the second year, characterising three seasonal periods early summer, late summer and early winter. Mean meroplankton abundance was 160 and 1,548 in d.100 m(-3) for the first and second years, respectively. Mollusc veligers were dominant in both years. Analysis of variance showed that in 2001 veligers were present in the early winter and in 2002 they were synchronous with the late summer phytoplankton bloom; polychaetes and trochophors were concentrated in the early winter, while echinoderms and nemerteans were abundant in early summer. These results showed the importance of seasonality (i.e. a combination of air and water temperature, solar radiation and food supply) to the reproductive events of an Antarctic coastal nearshore environment.</t>
  </si>
  <si>
    <t>Univ Fed Santa Catarina, CCB, Dept Ecol &amp; Zool, Florianopolis, SC, Brazil; UFPR, Ctr Estudos Mar, Pontal Do Sus, PR, Brazil</t>
  </si>
  <si>
    <t>Universidade Federal de Santa Catarina (UFSC); Universidade Federal do Parana</t>
  </si>
  <si>
    <t>Univ Fed Santa Catarina, CCB, Dept Ecol &amp; Zool, Florianopolis, SC, Brazil.</t>
  </si>
  <si>
    <t>andreasfreire@yahoo.com.br</t>
  </si>
  <si>
    <t>Freire, Andrea/AAQ-9863-2021; Freire, Andrea S/J-6226-2018</t>
  </si>
  <si>
    <t>Freire, Andrea S/0000-0001-6280-7254</t>
  </si>
  <si>
    <t>10.1007/s00300-005-0052-y</t>
  </si>
  <si>
    <t>WOS:000235369500006</t>
  </si>
  <si>
    <t>Kuhn, CE; McDonald, BI; Shaffer, SA; Barnes, J; Crocker, DE; Burns, J; Costa, DP</t>
  </si>
  <si>
    <t>Diving physiology and winter foraging behavior of a juvenile leopard seal (Hydrurga leptonyx)</t>
  </si>
  <si>
    <t>MUSCLE OXYGEN STORES; AEROBIC DIVE LIMIT; CRAB-EATER SEALS; ANTARCTIC PENINSULA; MARGUERITE BAY; WEDDELL SEALS; ELEPHANT SEAL; BLOOD; DETERMINANTS; ZOOPLANKTON</t>
  </si>
  <si>
    <t>Diving physiology and at-sea behavior of a juvenile leopard seal (Hydrurga leptonyx) were opportunistically measured in the Antarctic Peninsula during winter 2002. Total body oxygen stores were estimated from measures of hematocrit, hemoglobin, myoglobin, and total blood volume and were used to calculate an aerobic dive limit (ADL). Movement patterns and diving behavior were measured by equipping the seal with a Satellite Relay Data Logger that transmitted data from 8-31 August 2002. The seal remained in a focal area, in contrast to crabeater seals tracked simultaneously. The seal displayed short, shallow dives (mean 2.0 +/- 1.4 min, 44 +/- 48 m) and spent 99.9% of its time within the estimated ADL of 7.4 min. The shallow diving behavior contradicts previous diet research suggesting Antarctic krill (Euphausia superba) is the primary prey of leopard seals during the winter months as krill were found at deeper depths during this period. These measurements of diving and movement of a leopard seal provide valuable preliminary data necessary to develop future research on the at-sea behavior of an apex predator in the Antarctic ecosystem.</t>
  </si>
  <si>
    <t>Univ Calif Santa Cruz, Dept Ecol &amp; Evolutionary Biol, Long Marine Lab, Santa Cruz, CA 95060 USA; Taronga Zoo, Vet &amp; Quarantine Ctr, Mosman, NSW 2088, Australia; Sonoma State Univ, Dept Biol, Rohnert Pk, CA 94928 USA; Univ Alaska, Dept Biol Sci, Anchorage, AK 99508 USA</t>
  </si>
  <si>
    <t>University of California System; University of California Santa Cruz; California State University System; Sonoma State University; University of Alaska System; University of Alaska Anchorage</t>
  </si>
  <si>
    <t>Kuhn, CE (corresponding author), Univ Calif Santa Cruz, Dept Ecol &amp; Evolutionary Biol, Long Marine Lab, 100 Shaffer Rd, Santa Cruz, CA 95060 USA.</t>
  </si>
  <si>
    <t>kuhn@biology.ucsc.edu</t>
  </si>
  <si>
    <t>McDonald, Birgitte I/I-3602-2019; Burns, Jennifer/AAC-8243-2019; Carlos, Universidade Federal de São/W-8832-2019; Burns, Jennifer M/C-4159-2013; Costa, Daniel Paul/E-2616-2013; Shaffer, Scott/D-5015-2009</t>
  </si>
  <si>
    <t>McDonald, Birgitte I/0000-0001-5028-066X; Burns, Jennifer/0000-0001-9652-2943; Carlos, Universidade Federal de São/0000-0002-0334-3899; Costa, Daniel Paul/0000-0002-0233-5782; Kuhn, Carey/0000-0002-6835-9744; Shaffer, Scott/0000-0002-7751-5059</t>
  </si>
  <si>
    <t>10.1007/s00300-005-0053-x</t>
  </si>
  <si>
    <t>WOS:000235369500007</t>
  </si>
  <si>
    <t>Allegrucci, G; Carchini, G; Todisco, V; Convey, P; Sbordoni, V</t>
  </si>
  <si>
    <t>A molecular phylogeny of antarctic chironomidae and its implications for biogeographical history</t>
  </si>
  <si>
    <t>SUBSTITUTION RATE; RIBOSOMAL-RNA; ACARI; DNA; PENINSULA; DIPTERA; ECOLOGY; ORIGIN</t>
  </si>
  <si>
    <t>The chironomid midges Belgica antarctica, Eretmoptera murphyi (subfamily Orthocladiinae) and Parochlus steinenii (subfamily Podonominae), are the only Diptera species currently found in Antarctica. The relationships between these species and a range of further taxa of Chironomidae were examined by sequencing domains 1 and 3-5 of 28S ribosomal RNA. The resulting molecular relationships between B. antarctica and E. murphyi, within Orthocladiinae, were highly supported by validation analyses, confirming their position within Chironomidae, as generated by classical taxonomy. Within Podonominae, P. steinenii from the Maritime Antarctic was more closely related to material from sub-Antarctic South Georgia than to material from Patagonia. Taking advantage of the availability of a molecular substitution rate calculated for this gene in Diptera, a dating of divergence between our study taxa was tentatively established. The divergence dates obtained were 49 million years (Myr), between B. antarctica and E. murphyi, and 68.5 Myr between these species and the closest Orthocladiinae taxon tested from Patagonia, suggesting that B. antarctica and E. murphyi were representatives of an ancient lineage. As both are endemic to their respective tectonic microplates, their contemporary distribution is, therefore, likely to have been shaped by vicariance rather than dispersal.</t>
  </si>
  <si>
    <t>Univ Roma Tor Vergata, Dept Biol, I-00133 Rome, Italy; British Antarctic Survey, NERC, Cambridge CB3 0ET, England</t>
  </si>
  <si>
    <t>University of Rome Tor Vergata; UK Research &amp; Innovation (UKRI); Natural Environment Research Council (NERC); NERC British Antarctic Survey</t>
  </si>
  <si>
    <t>Univ Roma Tor Vergata, Dept Biol, Via Ric Sci, I-00133 Rome, Italy.</t>
  </si>
  <si>
    <t>allegrucci@uniroma2.it</t>
  </si>
  <si>
    <t>Sbordoni, Valerio/L-8889-2013; Allegrucci, Giuliana/AAZ-2217-2021; Convey, Peter/AAV-5728-2020; Todisco, Valentina/AAH-6528-2019</t>
  </si>
  <si>
    <t>Sbordoni, Valerio/0000-0002-9510-1925; Convey, Peter/0000-0001-8497-9903; Todisco, Valentina/0000-0002-7510-6139</t>
  </si>
  <si>
    <t>10.1007/s00300-005-0056-7</t>
  </si>
  <si>
    <t>WOS:000235369500009</t>
  </si>
  <si>
    <t>Hughes, KA</t>
  </si>
  <si>
    <t>Solar UV-B radiation, associated with ozone depletion, inhibits the Antarctic terrestrial microalga, Stichococcus bacillaris</t>
  </si>
  <si>
    <t>ULTRAVIOLET-RADIATION; DNA-DAMAGE; ALGAE; PHYTOPLANKTON; FUNGI; CYANOBACTERIA; COMMUNITIES; WATERS; SIZE</t>
  </si>
  <si>
    <t>This study shows that increased UV-B arising from stratospheric ozone depletion over Antarctica reduced cell viability and the maximum quantum yield of photochemistry (F-v/F-m) in a unicellular terrestrial microalga, Stichococcus bacillaris. In the UV waveband, rates of F-v/F-m decline increased with decreasing wavelength. Photosynthetically active radiation (PAR) also reduced F-v/F-m, though less than UV radiation. Further experiments under different ozone column thicknesses showed a significantly greater decline in cell viability and F-v/F-m under ozone depletion compared with non-depleted conditions. The inhibitory effects of ambient solar radiation suggest that S. bacillaris is unlikely to inhabit soil surfaces, but colonises shaded areas beneath soil surface particles. During periods of ozone depletion, increases in the ratio of UV-B:PAR may reduce the thickness of the sub-surface zone where light conditions are suitable for colonisation by this alga.</t>
  </si>
  <si>
    <t>Hughes, Kevin/JVZ-0793-2024</t>
  </si>
  <si>
    <t>10.1007/s00300-005-0057-6</t>
  </si>
  <si>
    <t>WOS:000235369500010</t>
  </si>
  <si>
    <t>Thomson, PG; McMinn, A; Kiessling, I; Watson, M; Goldsworthy, PM</t>
  </si>
  <si>
    <t>Composition and succession of dinoflagellates and chrysophytes in the upper fast ice of Davis Station, East Antarctica</t>
  </si>
  <si>
    <t>SPRING-SUMMER TRANSITION; SEA-ICE; MCMURDO-SOUND; MICROBIAL COMMUNITIES; POLARELLA-GLACIALIS; BRINE COMMUNITY; BOTTOM-ICE; PACK ICE; MICROALGAE; BIOMASS</t>
  </si>
  <si>
    <t>Little is known of the wider Antarctic distribution of the upper fast ice community now comprehensively described from McMurdo Sound. We determined the fast ice protist community at Davis Station, East Antarctica and compared it with that of McMurdo Sound. As at McMurdo Sound, Davis fast ice is characterised by extreme and transitory salinities (96-2.5 psu) and temperatures (-4.5 to -0.1 degrees C) during the spring/summer transition. Both communities are dominated by Polarella glacialis (an autotrophic dinoflagellate), chrysophytes and their life cycle stages. Furthermore, the physical parameters of brine temperature and salinity at which these successions occurred approximated those of McMurdo Sound. The high degree of similarity between the communities from the geographically disparate locations indicates that this community type has a circum-Antarctic distribution. Confirming the areal extent and seasonality of this community type will assist in future predictions of sea ice productivity.</t>
  </si>
  <si>
    <t>CRC, Dept Environm &amp; Heritage, Australian Antarctic Div, Kingston, Tas 7050, Australia; Univ Tasmania, Inst Antarctic &amp; So Ocean Studies, Hobart, Tas 7001, Australia; Univ Tasmania, Antarctic Climate &amp; Ecosyst CRC, Hobart, Tas 7001, Australia; Charles Darwin Univ, Sch Environm Res, C N Australian Res Unit, Casuarina, NT 0811, Australia</t>
  </si>
  <si>
    <t>Australian Antarctic Division; University of Tasmania; University of Tasmania; Charles Darwin University</t>
  </si>
  <si>
    <t>CRC, Dept Environm &amp; Heritage, Australian Antarctic Div, Kingston, Tas 7050, Australia.</t>
  </si>
  <si>
    <t>Paul.Thomson@aad.gov.au</t>
  </si>
  <si>
    <t>McMinn, Andrew/A-9910-2008</t>
  </si>
  <si>
    <t>10.1007/s00300-005-0060-y</t>
  </si>
  <si>
    <t>WOS:000235369500011</t>
  </si>
  <si>
    <t>Nkem, JN; Wall, DH; Virginia, RA; Barrett, JE; Broos, EJ; Porazinska, DL; Adams, BJ</t>
  </si>
  <si>
    <t>Wind dispersal of soil invertebrates in the McMurdo Dry valleys, Antarctica</t>
  </si>
  <si>
    <t>TAYLOR VALLEY; NEMATODES; BIODIVERSITY; ANHYDROBIOSIS; BIOGEOCHEMISTRY; COMMUNITIES; TEMPERATURE; DIVERSITY; TRANSPORT; LIFE</t>
  </si>
  <si>
    <t>Dispersal of soil organisms is crucial for their spatial distribution and adaptation to the prevailing conditions of the Antarctic Dry Valleys. This study investigated the possibility of wind dispersal of soil invertebrates within the dry valleys. Soil invertebrates were evaluated in (1) pockets of transported sediments to lake ice and glacier surfaces, (2) wind-transported dust particles in collection pans (Bundt pans) 100 cm above the soil surface, and (3) sediments transported closer to the surface (&lt; 50 cm) and collected in open top chambers (OTCs). Invertebrates were extracted and identified. Nematodes were identified to species and classified according to life stage and sex. Three species of nematodes were recovered and Scottnema lindsayae was the most dominant. There were more juveniles (similar to 71%) in the transported sediments than adults (29%). Tardigrades and rotifers were more abundant in sediments on lake and glacier surfaces while nematodes were more abundant in the dry sediment collections of Bundt pans and OTCs. The abundance of immobile (dead) nematodes in the Bundt pans and OTCs was three times greater than active (live) nematodes. Anhydrobiosis constitutes a survival mechanism that allows wind dispersal of nematodes in the McMurdo Dry Valleys. Our results show that soil invertebrates are dispersed by wind in the Dry Valleys and are viable in ice communities on lake surfaces and glaciers.</t>
  </si>
  <si>
    <t>Colorado State Univ, Nat Resource Ecol Lab, Ft Collins, CO 80523 USA; Dartmouth Coll, Environm Studies Program, Hanover, NH 03755 USA; Univ Florida, Ft Lauderdale Res &amp; Educ Ctr, Ft Lauderdale, FL 33314 USA; Brigham Young Univ, Provo, UT 84602 USA</t>
  </si>
  <si>
    <t>Colorado State University; Dartmouth College; State University System of Florida; University of Florida; Brigham Young University</t>
  </si>
  <si>
    <t>Colorado State Univ, Nat Resource Ecol Lab, Ft Collins, CO 80523 USA.</t>
  </si>
  <si>
    <t>Diana@nrel.colostate.edu</t>
  </si>
  <si>
    <t>Wall, Diana H/F-5491-2011; Adams, Byron/C-3808-2009; Barrett, John/D-5851-2016</t>
  </si>
  <si>
    <t>Adams, Byron/0000-0002-7815-3352; Barrett, John/0000-0002-7610-0505</t>
  </si>
  <si>
    <t>10.1007/s00300-005-0061-x</t>
  </si>
  <si>
    <t>WOS:000235369500012</t>
  </si>
  <si>
    <t>Woinarski, AZ; Stevens, GW; Snape, I</t>
  </si>
  <si>
    <t>A natural zeolite permeable reactive barrier to treat heavy-metal contaminated waters in Antarctica - Kinetic and fixed-bed studies</t>
  </si>
  <si>
    <t>PROCESS SAFETY AND ENVIRONMENTAL PROTECTION</t>
  </si>
  <si>
    <t>clinoptilolite; ion exchange; copper; transport model</t>
  </si>
  <si>
    <t>ION-EXCHANGE; AQUEOUS-SOLUTIONS; REMOVAL; CLINOPTILOLITE; TEMPERATURE; ADSORPTION; MODELS; PB2+; LEAD; CA</t>
  </si>
  <si>
    <t>Ion exchange characteristics of Cu2+ on the natural zeolite clinoptilolite at 2 and 22 degrees C are presented to facilitate the development of a permeable reactive barrier (PRB) to treat heavy-metal contaminated waters in Antarctica. A one-dimensional mass transfer transport model describin- non-equilibrium sorption of Cu2+ in fixed-bed flow reveals that saturation capacities are independent of flow rate, but mass transfer coefficients increase with water velocity. Clinoptilolite capacity in fixed-beds is approximately 50% the capacity in equivalent batch systems, and mass transfer coefficients are between two and eight times batch-estimated values. Fixed-bed performance is significantly reduced at cold temperature, with breakthrough points and saturation capacities at 2 degrees C between 60 and 65% less than operation at 22 degrees C. The detrimental effects of cold temperature on fixed-bed performance will have significant implications for the design of a natural zeolite PRB to treat heavy-metal contaminated waters in Antarctica or other cold regions.</t>
  </si>
  <si>
    <t>Univ Melbourne, Dept Chem &amp; Biomol Engn, Parkville, Vic 3010, Australia; Australian Antarctic Div, Kingston, Tas 7050, Australia</t>
  </si>
  <si>
    <t>University of Melbourne; Australian Antarctic Division</t>
  </si>
  <si>
    <t>Stevens, GW (corresponding author), Univ Melbourne, Dept Chem &amp; Biomol Engn, Parkville, Vic 3010, Australia.</t>
  </si>
  <si>
    <t>gstevens@unimelb.edu.au</t>
  </si>
  <si>
    <t>Eun, Heesoo/H-5370-2012</t>
  </si>
  <si>
    <t>Stevens, Geoffrey/0000-0002-5788-4682</t>
  </si>
  <si>
    <t>0957-5820</t>
  </si>
  <si>
    <t>1744-3598</t>
  </si>
  <si>
    <t>PROCESS SAF ENVIRON</t>
  </si>
  <si>
    <t>Process Saf. Environ. Protect.</t>
  </si>
  <si>
    <t>B2</t>
  </si>
  <si>
    <t>10.1205/psep.04296</t>
  </si>
  <si>
    <t>Engineering, Environmental; Engineering, Chemical</t>
  </si>
  <si>
    <t>040EI</t>
  </si>
  <si>
    <t>WOS:000237361400004</t>
  </si>
  <si>
    <t>Guschina, IA; Harwood, JL</t>
  </si>
  <si>
    <t>Lipids and lipid metabolism in eukaryotic algae</t>
  </si>
  <si>
    <t>PROGRESS IN LIPID RESEARCH</t>
  </si>
  <si>
    <t>algae; oxylipins; Chlamydomonas reinhardtii; arachidonic acid; eicosapentaenoic acid; docosahexaenoic acid; fatty acid synthesis; environmental effects</t>
  </si>
  <si>
    <t>FATTY-ACID-COMPOSITION; MICROALGA PORPHYRIDIUM-CRUENTUM; WALL (TLS)-CONTAINING MICROALGAE; MOLECULAR-SPECIES COMPOSITION; ACTIVATED CHEMICAL DEFENSE; CHLORELLA-KESSLERI 11H; DOCOSAHEXAENOIC-ACID; CHLAMYDOMONAS-REINHARDTII; EICOSAPENTAENOIC ACID; MARINE DIATOM</t>
  </si>
  <si>
    <t>Eukaryotic algae are a very diverse group of organisms which inhabit a huge range of ecosystems from the Antarctic to deserts. They account for over half the primary productivity at the base of the food chain. In recent years studies on the lipid biochemistry of algae has shifted from experiments with a few model organisms to encompass a much larger number of, often unusual, algae. This has led to the discovery of new compounds, including major membrane components, as well as the elucidation of lipid signalling pathways. A major drive in recent research have been attempts to discover genes that code for expression of the various proteins involved in the production of very long-chain polyunsaturated fatty acids such as arachidonic, eicosapentaenoic and docosahexaenoic acids. Such work is described here together with information about how environmental factors, such as light, temperature or minerals, can change algal lipid metabolism and how adaptation may take place. (C) 2006 Elsevier Ltd. All rights reserved.</t>
  </si>
  <si>
    <t>Cardiff Univ, Sch Biosci, Cardiff CF10 3US, Wales</t>
  </si>
  <si>
    <t>Cardiff University</t>
  </si>
  <si>
    <t>Cardiff Univ, Sch Biosci, POB 911, Cardiff CF10 3US, Wales.</t>
  </si>
  <si>
    <t>Harwood@cardiff.ac.uk</t>
  </si>
  <si>
    <t>Harwood, John L/A-4308-2010</t>
  </si>
  <si>
    <t>Harwood, John/0000-0003-2377-2612</t>
  </si>
  <si>
    <t>0163-7827</t>
  </si>
  <si>
    <t>1873-2194</t>
  </si>
  <si>
    <t>PROG LIPID RES</t>
  </si>
  <si>
    <t>Prog. Lipid Res.</t>
  </si>
  <si>
    <t>10.1016/j.plipres.2006.01.001</t>
  </si>
  <si>
    <t>Biochemistry &amp; Molecular Biology; Nutrition &amp; Dietetics</t>
  </si>
  <si>
    <t>024FX</t>
  </si>
  <si>
    <t>WOS:000236182000004</t>
  </si>
  <si>
    <t>Kenyon, SL; Storey, JWV</t>
  </si>
  <si>
    <t>A review of optical sky brightness and extinction at Dome C, Antarctica</t>
  </si>
  <si>
    <t>MULTIPLE-SCATTERING; SOUTH-POLE; STRATOSPHERIC CLOUDS; TWILIGHT; POLARIZATION; TEMPERATURES; ASTRONOMY; EMISSION; DYNAMICS; SKYLIGHT</t>
  </si>
  <si>
    <t>The recent discovery of exceptional seeing conditions at Dome C, Antarctica, raises the possibility of constructing an optical observatory there with unique capabilities. However, little is known from an astronomer's perspective about the optical sky brightness and extinction at Antarctic sites. We review the contributions to sky brightness at high-latitude sites and calculate the amount of usable dark time at Dome C. We also explore the implications of the limited sky coverage of high-latitude sites and review optical extinction data from the South Pole. Finally, we examine the proposal of Baldry &amp; Bland-Hawthorn to extend the amount of usable dark time through the use of polarizing filters.</t>
  </si>
  <si>
    <t>Univ New S Wales, Sch Phys, Sydney, NSW 2052, Australia</t>
  </si>
  <si>
    <t>Univ New S Wales, Sch Phys, Sydney, NSW 2052, Australia.</t>
  </si>
  <si>
    <t>suzanne@phys.unsw.edu.au; j.storey@unsw.edu.au</t>
  </si>
  <si>
    <t>10.1086/499631</t>
  </si>
  <si>
    <t>029RQ</t>
  </si>
  <si>
    <t>WOS:000236582500015</t>
  </si>
  <si>
    <t>Hajdas, I; Lowe, DJ; Newnham, RM; Bonani, G</t>
  </si>
  <si>
    <t>Timing of the late-glacial climate reversal in the Southern Hemisphere using high-resolution radiocarbon chronology for Kaipo bog, New Zealand</t>
  </si>
  <si>
    <t>late-glacial; climate reversal; abrupt climate change; younger Dryas; Antarctic Cold Reversal; interhemispheric asynchrony; radiocarbon dating; tephrochronology; wiggle matching; high-resolution palynology; Kaipo bog; New Zealand</t>
  </si>
  <si>
    <t>EASTERN NORTH-ISLAND; MONTANE PEAT BOG; YOUNGER DRYAS; LATE PLEISTOCENE; CALIBRATION; TEPHRA; RECORD; C-14; STRATIGRAPHY; ANTARCTICA</t>
  </si>
  <si>
    <t>The pattern of climate change in the Southern Hemisphere during the Younger Dryas (YD) chronozone provides essential constraint on mechanisms of abrupt climate change only if accurate, high-precision chronologies are obtained. A climate reversal reported previously at Kaipo bog, New Zealand, had been dated between 13,600 and 12,600 cal yr B.P. and appeared to asynchronously overlap the YD chron, but the chronology, based on conventionally radiocarbon-dated bulk sediment samples, left the precise timing questionable. We report a new high-resolution AMS C-14 chronology for the Kaipo record that confirms the original chronology and provides further evidence for a mid-latitude Southern Ocean cooling event dated between 13,800 and 12,400 cal yr B.P. (2 sigma range), roughly equivalent to the Antarctic Cold Reversal. (c) 2005 University of Washington. All rights reserved.</t>
  </si>
  <si>
    <t>PSI, ETH PSI AMS, Lab Honggerberg, CH-8093 Zurich, Switzerland; Univ Waikato, Dept Earth Sci, Hamilton, New Zealand; Univ Plymouth, Sch Geog, Plymouth PL4 8AA, Devon, England; ETH Inst Teilchenphys, ETH PSI AMS, Lab Honggerberg, CH-8093 Zurich, Switzerland</t>
  </si>
  <si>
    <t>Swiss Federal Institutes of Technology Domain; Paul Scherrer Institute; University of Waikato; University of Plymouth; Swiss Federal Institutes of Technology Domain; ETH Zurich</t>
  </si>
  <si>
    <t>PSI, ETH PSI AMS, Lab Honggerberg, HPK H27, CH-8093 Zurich, Switzerland.</t>
  </si>
  <si>
    <t>hajdas@phys.ethz.ch</t>
  </si>
  <si>
    <t>Lowe, David James/G-2654-2013; Newnham, Rewi M/F-1111-2011; Hajdas, Irka/C-6696-2011</t>
  </si>
  <si>
    <t>Lowe, David James/0000-0002-2547-6019; Hajdas, Irka/0000-0003-2373-2725</t>
  </si>
  <si>
    <t>10.1016/j.yqres.2005.08.028</t>
  </si>
  <si>
    <t>022XY</t>
  </si>
  <si>
    <t>WOS:000236090600016</t>
  </si>
  <si>
    <t>Pisias, NG; Heusser, L; Heusser, C; Hostetler, SW; Mix, AC; Weber, M</t>
  </si>
  <si>
    <t>Radiolaria and pollen records from 0 to 50 ka at ODP Site 1233: continental and marine climate records from the Southeast Pacific</t>
  </si>
  <si>
    <t>NORTH-AMERICA; OCEAN; VARIABILITY; ASSEMBLAGES; CHILE</t>
  </si>
  <si>
    <t>Site 1233 drilled during Leg 202 of the Ocean Drilling Program provides a detailed record of marine and continental climate change in the Southeast Pacific and South American continent. Splits from over 500 samples taken at 20cm intervals for quantitative analysis of radiolarian and pollen Populations yield it temporal resolution of 200-400 years. In each sample, 39 pollen taxa and 40 radiolarian species and genera were evaluated. Age control is provided by 25 AMS C-14 dates [Lamy, F., Kaiser, J., Ninnemann, U., Hebbeln, D., Arz, H.W., Stoner, J., 2004. Science 304, 1959-1962]. Multivariate statistical analyses of these data allow us to conclude the following: (1) During the past 50 ka the region of the central Chile coast is not directly influenced by polar water from the Antarctic region. (2) Changes in ocean conditions off central Chile during this time interval primarily reflect north-south shifts in the position of the South Pacific transition zone. (3) Changes in Chilean vegetation reflect comparable latitudinal shifts in precipitation and the position of the southern westerlies. (4) The first canonical variate of racholarian and pollen records extracted from Site 1233 are remarkably similar to each other as well as to temperature records from the Antarctic, which suggests that marine and continental climate variability in the region is tightly coupled at periods longer than 3000 years. (5) The phase coupling of these climate records, which lead variations of continental erosion based oil iron abundance at the same site, are consistent with a hypothesis that erosion is linked to relatively long (i.e. few thousand years) response times of the Patagonian ice sheet, and thus is not a direct indicator of regional climate. (c) 2005 Elsevier Ltd. All rights reserved.</t>
  </si>
  <si>
    <t>Oregon State Univ, Coll Ocean &amp; Atmospher Sci, Corvallis, OR 97331 USA; Columbia Univ, Lamont Doherty Earth Observ, New York, NY USA; NYU, New York, NY USA; US Geol Survey, Corvallis, OR USA</t>
  </si>
  <si>
    <t>Oregon State University; Columbia University; New York University; United States Department of the Interior; United States Geological Survey</t>
  </si>
  <si>
    <t>Oregon State Univ, Coll Ocean &amp; Atmospher Sci, Corvallis, OR 97331 USA.</t>
  </si>
  <si>
    <t>pisias@coas.oregonstate.edu</t>
  </si>
  <si>
    <t>10.1016/j.quascirev.2005.06.009</t>
  </si>
  <si>
    <t>034MJ</t>
  </si>
  <si>
    <t>WOS:000236932800006</t>
  </si>
  <si>
    <t>Heusser, L; Heusser, C; Pisias, N</t>
  </si>
  <si>
    <t>Vegetation and climate dynamics of southern Chile during the past 50,000 years: results of ODP Site 1233 pollen analysis</t>
  </si>
  <si>
    <t>ISLA-GRANDE; LAKE DISTRICT; MARINE RECORD; LAST; VARIABILITY; TRANSITION; RAINFALL; HISTORY</t>
  </si>
  <si>
    <t>High-resolution pollen data from ODP Site 1233 (41 degrees 0.005S. 74 degrees 26.992W, 838m water depth) provide a continuous, chronostratigraphically controlled similar to 50,000-yr record of regional changes in vegetation from temperate South America. Deposited similar to 38 km west of the transition from northern, summer-green, lowland forest to southern evergreen rain forest, the 135 m core documents the comparatively brief Holocene development of thermophilous vegetation (Lowland Deciduous Beech Forest and Valdivian Evergreen Forest), and the expansion of glacial, subantarctic vegetation (North Patagonian Evergreen Forest-Subantarctic Parkland) during Marine Isotope State (MIS) 2 and 3. Systematic variability in these terrestrial climate proxies that reflect latitudinal movement of the Southern westerlies is mirrored in co-eval ocean conditions inferred from radiolaria census data and in Antarctic climate records. (c) 2005 Elsevier Ltd. All rights reserved.</t>
  </si>
  <si>
    <t>Columbia Univ, Lamont Doherty Earth Observ, Palisades, NY 10964 USA; NYU, New York, NY USA; Oregon State Univ, Coll Ocean &amp; Atmospher Sci, Corvallis, OR 97331 USA</t>
  </si>
  <si>
    <t>Columbia University; New York University; Oregon State University</t>
  </si>
  <si>
    <t>Columbia Univ, Lamont Doherty Earth Observ, Palisades, NY 10964 USA.</t>
  </si>
  <si>
    <t>heusser@ldco.columbia.edu</t>
  </si>
  <si>
    <t>10.1016/j.quascirev.2005.04.009</t>
  </si>
  <si>
    <t>WOS:000236932800007</t>
  </si>
  <si>
    <t>Nagalingum, NS; Cantrill, DJ</t>
  </si>
  <si>
    <t>Early Cretaceous Gleicheniaceae and Matoniaceae (Gleicheniales) from Alexander Island, Antarctica</t>
  </si>
  <si>
    <t>REVIEW OF PALAEOBOTANY AND PALYNOLOGY</t>
  </si>
  <si>
    <t>ferns; Matonia; Matoniaceae; Gleicheniaceae; Early Cretaceous; Albian; Antarctica</t>
  </si>
  <si>
    <t>FOSSIL FERN; FLORA; GENUS; TAXONOMY; HISTORY; FORESTS; AGE</t>
  </si>
  <si>
    <t>The first Cretaceous representatives of Matoniaceae and Gleicheniaceae in the Antarctic are described from the Albian flora of Alexander Island. Two new species are recognized, one is assigned to Matonia, and another to the emended gleicheniaceous form-genus Gleicheniaceaephyllum. The taxonomy of fossil genera assigned to Gleicheniaceae is problematic, and as an alternative to the invalid genus Gleichenites, we propose that Microphyllopteris be utilised as a form-genus for species that have either an unknown branching pattern or pseudo-dichotomous branching without resting buds; Microphyllopteris is reserved for ferns that cannot be ascribed conclusively to Gleicheniaceae. Alternatively, Gleicheniaceaephyllum actum should be used for gleicheniaceous material that has a resting bud amongst two to four primary branches. Gleicheniaceaephyllum acutum sp. nov. is preserved as sterile and fertile fronds, pinnae and pinnules. The other new species, Matonia jeffersonii sp. nov., occurs as sterile and fertile pinnae and pinnules, and is aligned to Matoniaceae based on the presence of circular-oval sort with peltate indusia. The two taxa are inferred to have either a pedate or scrambling habit. These morphologies are relatively common at Alexander Island, compared to other high latitude fossil floras, and are interpreted as an adaptation to the high disturbance, polar conditions and unusual photoperiod experienced at Alexander Island during the Early Cretaceous. The theory that angiosperms caused the demise of ferns is discussed in relation to the Matoniaceae and Gleicheniaceae, and there does not appear to be association between angiosperm expansion and the decline of these two fern families. (c) 2005 Elsevier B.V. All rights reserved.</t>
  </si>
  <si>
    <t>Univ Melbourne, Sch Bot, Melbourne, Vic 3010, Australia; Swedish Museum Nat Hist, Paleobot Sect, S-10405 Stockholm, Sweden</t>
  </si>
  <si>
    <t>University of Melbourne; Melbourne Bioinformatics; Swedish Museum of Natural History</t>
  </si>
  <si>
    <t>Duke Univ, Dept Biol, Durham, NC 27708 USA.</t>
  </si>
  <si>
    <t>n.nagalingum@duke.edu; david.cantrill@nrm.se</t>
  </si>
  <si>
    <t>Cantrill, David/0000-0002-1185-4015</t>
  </si>
  <si>
    <t>0034-6667</t>
  </si>
  <si>
    <t>1879-0615</t>
  </si>
  <si>
    <t>REV PALAEOBOT PALYNO</t>
  </si>
  <si>
    <t>Rev. Palaeobot. Palynology</t>
  </si>
  <si>
    <t>10.1016/j.revpalbo.2005.11.001</t>
  </si>
  <si>
    <t>Plant Sciences; Paleontology</t>
  </si>
  <si>
    <t>028LG</t>
  </si>
  <si>
    <t>WOS:000236488400001</t>
  </si>
  <si>
    <t>Casanova-Katny, MA; Bravo, LA; Molina-Montenegro, MA; Corcuera, LJ; Cavieres, LA</t>
  </si>
  <si>
    <t>Photosynthetic performance of Colobanthus quitensis (Kunth) Bartl. (Caryophyllaceae) in a high-elevation site of the Andes of central Chile</t>
  </si>
  <si>
    <t>REVISTA CHILENA DE HISTORIA NATURAL</t>
  </si>
  <si>
    <t>net photosynthesis; chlorophyll fluorescence; NPQ; alpine climate; alpine plants; Andes</t>
  </si>
  <si>
    <t>ANTARCTIC VASCULAR PLANTS; COLD RESISTANCE; LARETIA-ACAULIS; LOW-TEMPERATURE; PHOTOINHIBITION; PHOTORESPIRATION; ACCLIMATION; LIGHT</t>
  </si>
  <si>
    <t>Photosynthesis of Colobanthus quitensis and mesoclimatic conditions of air temperature and light intensity during the growing season were investigated at 2,650 in ill the central Chilean Andes. Oil three typical days of the growing period (January, March and May), CO2 exchange and chlorophyll fluorescence were measured. In addition, a series of fluorescence response curves with increasing light intensity at different temperatures were performed to estimate the propensity of Andean C. quitensis Populations to be photoinhibited. Net Photosynthesis (Pn) was low (ca. 2.0 mu mol CO2 m(-2)s(-1)) during the morning and noon in days with high photosynthetic active radiation (PAR. above 1,806 mu mol photons m(-2) s(-1)). pil increased in the afternoon (3.5-4.8 mu mol CO2 m(-2)s(-1)) when PAR decreased to ca. 1,400 mu mol photons m(-2)s(-1) and leaf temperature were ca. 20 degrees C. F-v/F-m in he diurnal periods was between 0.7-0.75 without evidence of photoinhibition. Leaves at 15 and 22 degrees C exhibited a slow decrease of Phi(PSII) with the increase in actinic light intensity, although the fraction of reaction centers open (expressed by q(p)) remained higher at 22 degrees C. NPQ was saturated at light intensities close to 500 mu mol photons m(-2)s(-1) in leaves at 22 degrees C and at higher intensities at 15 degrees C, suggesting that NPQ could be a mechanism of energy dissipation at high light intensity and high leaf temperature in the field. Our results indicated that C. quitensis is not photodamaged during the diurnal cycle and that the low Pn registered during some diurnal periods are likely to be related with photorespiration, which has been suggested as an efficient protective mechanism for photoinhibition in alpine plants. Our results are also compared with the photosynthetic performance of C. quitensis populations from the maritime Antarctic.</t>
  </si>
  <si>
    <t>Univ Concepcion, Fac Ciencias Nat &amp; Oceanog, Dept Bot, Concepcion, Chile</t>
  </si>
  <si>
    <t>Univ Concepcion, Fac Ciencias Nat &amp; Oceanog, Dept Bot, Casilla 160-C, Concepcion, Chile.</t>
  </si>
  <si>
    <t>lcaviere@udec.cl</t>
  </si>
  <si>
    <t>Corcuera, Luis J/G-1714-2014; Bravo, León/AAO-8437-2020; Casanova-Katny, Angelica/M-3994-2014; Cavieres, Lohengrin A./A-9542-2010; Bravo, Leon/H-9251-2018</t>
  </si>
  <si>
    <t>Bravo, León/0000-0003-4705-4842; Cavieres, Lohengrin A./0000-0001-9122-3020; Bravo, Leon/0000-0003-4705-4842; Molina-Montenegro, Marco/0000-0001-6801-8942</t>
  </si>
  <si>
    <t>SOC BIOLGIA CHILE</t>
  </si>
  <si>
    <t>CASILLA 16164, SANTIAGO 9, CHILE</t>
  </si>
  <si>
    <t>0716-078X</t>
  </si>
  <si>
    <t>0717-6317</t>
  </si>
  <si>
    <t>REV CHIL HIST NAT</t>
  </si>
  <si>
    <t>Rev. Chil. Hist. Nat.</t>
  </si>
  <si>
    <t>028LW</t>
  </si>
  <si>
    <t>WOS:000236490000004</t>
  </si>
  <si>
    <t>Lombarte, A; Chic, O; Parisi-Baradad, V; Olivella, R; Piera, J; García-Ladona, E</t>
  </si>
  <si>
    <t>A web-based environment for shape analysis of fish otoliths.: The AFORO database</t>
  </si>
  <si>
    <t>otolith; shape analysis; curvature scale space; wavelets; Fourier</t>
  </si>
  <si>
    <t>STOCK DISCRIMINATION; REPRESENTATION; MERLUCCIUS</t>
  </si>
  <si>
    <t>We present an automatic system for describing and identifying fish otolith shapes combining information technologies with modern advances in signal analysis. As a major novelty with respect to past studies the system includes wavelets (WT) and Curvature space scale (CSS) analyses that have been shown to provide local morphologic information and characteristics (landmarks) of the sagitta otolith outline for non-specialists. By applying this electronic catalogue directly the system is very helpful for determining teleostean fish size, Population and species. Both the electronic catalogue and the shape analysis are implemented through the AFORO database, which at present contains more than 1250 high resolution images of the left sagitta from 292 species and 94 families of teleostan fishes sampled mainly in Mediterranean and Antarctic waters.</t>
  </si>
  <si>
    <t>CSIC, Inst Ciencias Mar, CMIMA, E-08003 Barcelona, Catalonia, Spain; Univ Politecn Catalunya, Dept Elect Engn, Barcelona, Catalonia, Spain; CSIC, Unitat Tecnol Marina, E-08003 Barcelona, Catalonia, Spain</t>
  </si>
  <si>
    <t>Consejo Superior de Investigaciones Cientificas (CSIC); CSIC - Centro Mediterraneo de Investigaciones Marinas y Ambientales (CMIMA); CSIC - Instituto de Ciencias del Mar (ICM); Universitat Politecnica de Catalunya; Consejo Superior de Investigaciones Cientificas (CSIC); CSIC - Centro Mediterraneo de Investigaciones Marinas y Ambientales (CMIMA); CSIC - Unidad de Tecnologia Marina (UTM)</t>
  </si>
  <si>
    <t>CSIC, Inst Ciencias Mar, CMIMA, Passeig Maritim 37-49, E-08003 Barcelona, Catalonia, Spain.</t>
  </si>
  <si>
    <t>toni@icm.csic.cs</t>
  </si>
  <si>
    <t>Lombarte, Antoni/D-3142-2013; García-Ladona, Emilio/N-5576-2014; Piera, Jaume/I-1152-2015</t>
  </si>
  <si>
    <t>García-Ladona, Emilio/0000-0002-0461-8639; Piera, Jaume/0000-0001-5818-9836; Lombarte, Antoni/0000-0001-5215-4587; Chic, Oscar/0000-0002-9212-4750</t>
  </si>
  <si>
    <t>10.3989/scimar.2006.70n1147</t>
  </si>
  <si>
    <t>027WQ</t>
  </si>
  <si>
    <t>Green Submitted, gold</t>
  </si>
  <si>
    <t>WOS:000236447100016</t>
  </si>
  <si>
    <t>Maslov, AV; Podkovyrov, VN; Ronkin, YL; Krupenin, MT; Gareev, EZ; Gorozhanin, VM</t>
  </si>
  <si>
    <t>Maslov, A. V.; Podkovyrov, V. N.; Ronkin, Yu. L.; Krupenin, M. T.; Gareev, E. Z.; Gorozhanin, V. M.</t>
  </si>
  <si>
    <t>Secular variations of the upper crust composition: Implication of geochemical data on the Upper Precambrian shales from the Southern Urals western flank and Uchur-Maya region</t>
  </si>
  <si>
    <t>STRATIGRAPHY AND GEOLOGICAL CORRELATION</t>
  </si>
  <si>
    <t>Late Precambrian; Bashkirian meganticlinorium; Uchur-Maya plate; Yudoma-Maya belt; isotopic and geochemistry; peculiarities of fine-grained siliciclastic sediments</t>
  </si>
  <si>
    <t>UPPER RIPHEAN STRATOTYPE; PB-PB AGE; ISOTOPIC COMPOSITION; KARATAU GROUP; EVOLUTION; GEOCHRONOLOGY; RODINIA; ROCKS; LIMESTONES; SANDSTONES</t>
  </si>
  <si>
    <t>In the mid-1980s, it was concluded based on geochemical study that Th, Sc, La concentrations and ratios Th/Sc, La/Sc and Eu/Eu* did not wary significantly in the post-Archean time. It was impossible to judge about compositional variations of upper crust during the Riphean and Vendian, because data of that time characterized a limited number of samples from the post-Archean basins of Australia, New Zealand, and Antarctic. Considered in this work are variations of Eu/Eu*, LREE/HREE, Th/Sc, and La/Sc ratios in Upper Precambrian fine-grained siliciclastic rock of the Southern Urals western flank (Bashkirian meganticlinorium) and Uchur-Maya region (Uchur-Maya plate and Yudoma-Maya belt). As is established, only the Eu anomaly in the studied siliciclastic rocks is practically identical to this parameter of the average post-Archean shale. Three other parameters plot on the Riphean-Vendian variation curves with positive and negative excursions of diverse magnitude, which do not coincide always in time. It is assumed that these excursions likely mark stages of local geodynamic activity, destruction of pre-Riphean cratons, and progressing recycling of sedimentary material during the Riphean.</t>
  </si>
  <si>
    <t>Russian Acad Sci, Uralian Div, Inst Geol &amp; Geochem, Ekaterinburg, Russia; Russian Acad Sci, Inst Precambrian Geol &amp; Geochronol, St Petersburg, Russia; Russian Acad Sci, Uralian Sci Ctr Presidium, Ufa 450001, Russia; Russian Acad Sci, Uralian Sci Ctr, Inst Geol, Ufa 450001, Russia</t>
  </si>
  <si>
    <t>Russian Academy of Sciences; Russian Academy of Sciences; Institute of Precambrian Geology &amp; Geochronology of the Russian Academy of Sciences; Russian Academy of Sciences; Russian Academy of Sciences; Institute of Geology, Ufa Science Centre, Russian Academy of Sciences</t>
  </si>
  <si>
    <t>Maslov, AV (corresponding author), Russian Acad Sci, Uralian Div, Inst Geol &amp; Geochem, Ekaterinburg, Russia.</t>
  </si>
  <si>
    <t>Krupenin, Mikhail/B-9046-2014; Gorozhanin, Valery/A-9944-2014</t>
  </si>
  <si>
    <t>0869-5938</t>
  </si>
  <si>
    <t>1555-6263</t>
  </si>
  <si>
    <t>STRATIGR GEO CORREL+</t>
  </si>
  <si>
    <t>Stratigr. Geol. Correl.</t>
  </si>
  <si>
    <t>10.1134/S086959380602002X</t>
  </si>
  <si>
    <t>146KV</t>
  </si>
  <si>
    <t>WOS:000244934000002</t>
  </si>
  <si>
    <t>Jungblut, AD; Hoeger, SJ; Mountfort, D; Hitzfeld, BC; Dietrich, DR; Neilan, BA</t>
  </si>
  <si>
    <t>Characterization of microcystin production in an Antarctic cyanobacterial mat community</t>
  </si>
  <si>
    <t>TOXICON</t>
  </si>
  <si>
    <t>cyanobacteria; microcystin; mass spectrometry; non-ribosomal peptide synthetase; Antarctica</t>
  </si>
  <si>
    <t>MCMURDO ICE SHELF; MASS-SPECTROMETRY; BENTHIC CYANOBACTERIA; PEPTIDE SYNTHETASE; TOXIN PRODUCTION; STRAINS; AERUGINOSA; HEPATOTOXINS; DIVERSITY; ANABAENA</t>
  </si>
  <si>
    <t>Cyanobacteria are well known for their production of non-ribosomal cyclic peptide toxins, including microcystin, in temperate and tropical regions, however, the production of these compounds in extremely cold environments is still largely unexplored. Therefore, we investigated the production of protein phosphatase inhibiting microcystins by Antarctic cyanobacteria. We have identified microcystin-LR and for the first time [D-Asp(3)] microcystin-LR by mass spectrometric analysis in Antarctic cyanobacteria. The microcystins were extracted from a benthic microbial community that was sampled from a meltwater pond (Fresh Pond, McMurdo Ice Shelf, Antarctica). The extracted cyanobacterial cyclic peptides were equivalent to 11.4 ng MC-LR per mg dry weight by semi-quantitative analyses using HPLC-DAD and the protein phosphatase inhibition assay. Furthermore, we were able to identify the presence of cyanobacterial non-ribosomal peptide synthetase (NRPS) and polyketide synthase (PKS) genes in total DNA extracts from the mat community. (c) 2005 Elsevier Ltd. All rights reserved.</t>
  </si>
  <si>
    <t>Univ New S Wales, Sch Biotechnol &amp; Biomol Sci, Sydney, NSW 2052, Australia; Univ Konstanz, D-7750 Constance, Germany; Cawthron Inst, Nelson, New Zealand; Swiss Agcy Environm, Bern, Switzerland</t>
  </si>
  <si>
    <t>University of New South Wales Sydney; University of Konstanz; Cawthron Institute</t>
  </si>
  <si>
    <t>b.neilan@unsw.edu.au</t>
  </si>
  <si>
    <t>Dietrich, Daniel/AAP-8698-2021; Neilan, Brett A/I-5767-2012</t>
  </si>
  <si>
    <t>Neilan, Brett A/0000-0001-6113-772X</t>
  </si>
  <si>
    <t>0041-0101</t>
  </si>
  <si>
    <t>Toxicon</t>
  </si>
  <si>
    <t>10.1016/j.toxicon.2005.11.002</t>
  </si>
  <si>
    <t>Pharmacology &amp; Pharmacy; Toxicology</t>
  </si>
  <si>
    <t>023JK</t>
  </si>
  <si>
    <t>WOS:000236122700004</t>
  </si>
  <si>
    <t>McKelvey, DR; Wilson, CD</t>
  </si>
  <si>
    <t>McKelvey, Denise R.; Wilson, Christopher D.</t>
  </si>
  <si>
    <t>Discriminant classification of fish and zooplankton backscattering at 38 and 120 kHz</t>
  </si>
  <si>
    <t>TRANSACTIONS OF THE AMERICAN FISHERIES SOCIETY</t>
  </si>
  <si>
    <t>TARGET-STRENGTH MEASUREMENTS; HAKE MERLUCCIUS-PRODUCTUS; SPECIES IDENTIFICATION; PACIFIC HAKE; ACOUSTIC IDENTIFICATION; WALLEYE POLLOCK; ANTARCTIC KRILL; ABUNDANCE; SIZE; AGGREGATIONS</t>
  </si>
  <si>
    <t>Acoustic scattering layers were evaluated for species classification by means of 38- and 120-kHz mean volume backscattering strength ((S) over bar (v)) collected during a 1995 acoustic-trawl survey of Pacific hake Merluccius productus off the west coasts of the United States and Canada. Scattering layers selected for analyses were shallower than 150 m and were analyzed with a -79-decibel (dB) S-v integration threshold. Pacific hake, euphausiids, and Pacific hake-euphausiid mixes dominated the layers. Other scatterers (unidentified, noneuphausiid, or non-Pacific hake sources) were included in the analyses. The overall mean volume backscatter difference (Delta(S) over bar (v) = (S) over bar (v) (120 kHz) - (S) over bar (v) (38) (kHz)) was computed for each species category, and results varied depending on the species composition of the scattering layer (i.e., Pacific hake = -7.1 dB, euphausiids = 11.9 dB, Pacific hake-euphausiids = 3.5 dB, and other species = 0.1 dB). Discriminant function analysis of (S) over bar (v 120) (kHz) and (S) over bar (v) (38) (kHz) separated echoes originating from each of the dominant scattering layers. Backscatter was then classified into species groups with a quadratic discriminant classification model, which obtained an overall correct classification rate of 84%. The use of multiple frequencies and these analytical methods (e.g., frequency differencing and discriminant classification functions) can provide an efficient and objective means of classifying sound-scattering layers composed of different taxonomic groups.</t>
  </si>
  <si>
    <t>Natl Marine Fisheries Serv, Alaska Fisheries Sci Ctr, Seattle, WA 98115 USA</t>
  </si>
  <si>
    <t>McKelvey, DR (corresponding author), Natl Marine Fisheries Serv, Alaska Fisheries Sci Ctr, 7600 Sand Point Way NE, Seattle, WA 98115 USA.</t>
  </si>
  <si>
    <t>denise.mckelvey@noaa.gov</t>
  </si>
  <si>
    <t>0002-8487</t>
  </si>
  <si>
    <t>1548-8659</t>
  </si>
  <si>
    <t>T AM FISH SOC</t>
  </si>
  <si>
    <t>Trans. Am. Fish. Soc.</t>
  </si>
  <si>
    <t>10.1577/T04-140.1</t>
  </si>
  <si>
    <t>046NO</t>
  </si>
  <si>
    <t>WOS:000237818500023</t>
  </si>
  <si>
    <t>Riaux-Gobin, C; Bourgoin, P</t>
  </si>
  <si>
    <t>Riaux-Gobin, C.; Bourgoin, P.</t>
  </si>
  <si>
    <t>Phytoplankton standing stocks at Kerguelen Islands (subantarctic, Indian Ocean): Annual variations in relation to environmental factors</t>
  </si>
  <si>
    <t>VIE ET MILIEU-LIFE AND ENVIRONMENT</t>
  </si>
  <si>
    <t>austral ocean; Kerguelen; coastal phytoplankton; pigments; ammonium; annual cycle</t>
  </si>
  <si>
    <t>INTERANNUAL VARIABILITY; COMMUNITY STRUCTURE; AMMONIUM; NITRATE; PRODUCTIVITY; STATION; SECTOR; KERFIX</t>
  </si>
  <si>
    <t>During a 15-month survey of standing stock phytoplankton at three coastal sites along Kerguelen Main Island, some hydrological as well as biological parameters differences between sites were noticed. The more sheltered site, at the head of the large Port-Raymond fjord (PRAY) on the north side of Morbihan Bay, was characterized by high and relatively stable salinity, a well defined cycle of phytoplankton biomass (up to 2 mu g Chl a l(-1), November-January), and high ammonium concentrations following the phytoplankton bloom (January-February, up to 5 mu M) that were probably also related to kelp degradation. At Port-Aux-Franqais (PAF), at the entrance of the Morbihan Bay, the salinity decreased with increasing water discharge in winter; the bloom, starting with the spring increase in water temperature, was intense and consisted of several short peaks in summer (late November-February, up to 11.2 mu g Chl a l(-1) in 1992). The third site, at the head of the deep Portes-Noires fjord (PN), South Kerguelen, was characterized by frequent discharges from glacier-rivers, very low water temperature (min. 2 degrees C in August, max. 5 degrees C in January-March), low NH4+ values (&lt; 0.5 mu M in winter), and a phytoplankton bloom apparently short and starting in February-March (up to 4 mu g Chl a l(-1) in 1992). The ratio Chl a/Phaeo a also suggested that the phytoplankton productive period started later in the year at Portes-Noires fjord, in relation to its more exposed position. By comparison, in the offshore coastal waters (i.e. KERFIX station), the bloom was restricted to a short period (November-December) with low pigment maximum (up to 2 mu g Chl a l(-1)). The indented geomorphology of Kerguelen main Island, close to the Polar Front, allows the phytoplankton to develop actively in the inner fjords and bays, with nutrients supplied mainly from the oceanic Antarctic Divergence, but probably also from the kelp and epiphyte degradation and the flourishing macrofauna physiology. A geographical gradient in productivity was shown, from high biomasses in the Morbihan Bay, to a delayed cycle, low biomasses and nutrients, in the southern fjord with more direct open-ocean influence.</t>
  </si>
  <si>
    <t>Univ Paris 06, Observ Oceanol, CNRS, Lab Oceanog Biol, F-66650 Banyuls sur Mer, France; SHIS Lago Sul QL24, Brasilia, DF, Brazil</t>
  </si>
  <si>
    <t>Centre National de la Recherche Scientifique (CNRS); Sorbonne Universite</t>
  </si>
  <si>
    <t>Riaux-Gobin, C (corresponding author), Univ Paris 06, Observ Oceanol, CNRS, Lab Oceanog Biol, F-66650 Banyuls sur Mer, France.</t>
  </si>
  <si>
    <t>OBSERVATOIRE OCEANOLOGIQUE BANYULS</t>
  </si>
  <si>
    <t>BANYULS-SUR-MER CEDEX</t>
  </si>
  <si>
    <t>LABORATOIRE ARAGO, BP 44, 66651 BANYULS-SUR-MER CEDEX, FRANCE</t>
  </si>
  <si>
    <t>0240-8759</t>
  </si>
  <si>
    <t>VIE MILIEU</t>
  </si>
  <si>
    <t>Vie Milieu</t>
  </si>
  <si>
    <t>047EJ</t>
  </si>
  <si>
    <t>WOS:000237862300004</t>
  </si>
  <si>
    <t>Frank, M; Whiteley, N; van de Flierdt, T; Reynolds, BC; O'Nions, K</t>
  </si>
  <si>
    <t>Nd and Pb isotope evolution of deep water masses in the eastern Indian Ocean during the past 33 Myr</t>
  </si>
  <si>
    <t>CHEMICAL GEOLOGY</t>
  </si>
  <si>
    <t>Indonesian seaway; ocean circulation; weathering; neodymium isotopes; lead isotopes; ferromanganese crusts</t>
  </si>
  <si>
    <t>CENTRAL PACIFIC SEAWATER; RARE-EARTH-ELEMENTS; FOSSIL FISH TEETH; PAPUA-NEW-GUINEA; FE-MN CRUSTS; FERROMANGANESE CRUSTS; SOUTHERN-OCEAN; LEAD ISOTOPES; ANTARCTIC GLACIATION; NEODYMIUM ISOTOPES</t>
  </si>
  <si>
    <t>New time series of Nd and Pb isotopes were generated from two hydrogenous ferromanganese crusts from the eastern Indian Ocean, which were dated by Be-10/Be-9 profiles and Co chronometry. The goal was to gain information on the nature and timing of variations of the deep water radiogenic isotope composition as a function of the evolution of the Indonesian Island Arcs since the Early Miocene, changes in ocean circulation related to the different stages of the closing of the Indonesian seaway for deep and intermediate water mass exchange since the Mid-Miocene, and enhanced Himalayan weathering since the Late Oligocene. A crust from 4119 m water depth in the Wharton Basin adjacent to Sumatra and the Java Trench (DODO 232D) has recorded a small variability in Nd isotope, but pronounced variations in Pb isotope composition over the past 17 Myr. Patterns and absolute values of the Nd and Pb isotope time series closely resemble the record of previously published crust SS663 from the central Indian Ocean, located some 2500 km SW of crust DODO 232D in the northern central Indian Ocean. In accordance with the interpretation derived from crust SS663, the Pb isotope composition of deep water in the Wharton Basin has apparently been mainly controlled by products of Himalayan erosion and weathering and to a lesser extent by the evolution of the Indonesian Island Arcs. The location of a second crust(VA16 13KD-1) from 2 100 m water depth on the Scott Plateau off NW Australia is beneath the present day outflow of Pacific-derived surface and thermocline water masses into the eastern Indian Ocean. The pattern of the Pb present day outflow of Pacific isotope time series of this crust and the observed changes in Pb isotope mixing relationships, which occurred at similar to 11.5 and similar to 3.5 Ma, reflect the combined influence of advection and mixing of water masses through the Indonesian Seaway and weathering of volcanic source rocks within the emerging Indonesian Island Arcs over the past 33 Myr. The Nd isotope time series shows a pattern similar to central and southwest Pacific crusts and is best explained by a mixture between Nd from water masses advected from the Indian and Southern Ocean and Nd released by weathering from the emerging Indonesian Island Arcs. (c) 2005 Elsevier B.V. All rights reserved.</t>
  </si>
  <si>
    <t>Univ Oxford, Dept Earth Sci, Oxford OX1 3PR, England; Columbia Univ, Lamont Doherty Geol Observ, Palisades, NY 10964 USA; ETH Zentrum, Dept Earth Sci, Inst Isotope Geol &amp; Mineral Resources, CH-8092 Zurich, Switzerland</t>
  </si>
  <si>
    <t>University of Oxford; Columbia University; Swiss Federal Institutes of Technology Domain; ETH Zurich</t>
  </si>
  <si>
    <t>Univ Kiel, Leibniz Inst Marine Sci, IfM GEOMAR, Wischhofstr 1-3, D-24148 Kiel, Germany.</t>
  </si>
  <si>
    <t>mfrank@ifm-geomar.de</t>
  </si>
  <si>
    <t>Frank, Martin/0000-0002-8606-4421</t>
  </si>
  <si>
    <t>0009-2541</t>
  </si>
  <si>
    <t>1872-6836</t>
  </si>
  <si>
    <t>CHEM GEOL</t>
  </si>
  <si>
    <t>Chem. Geol.</t>
  </si>
  <si>
    <t>FEB 28</t>
  </si>
  <si>
    <t>10.1016/j.chemgeo.2005.09.024</t>
  </si>
  <si>
    <t>019SN</t>
  </si>
  <si>
    <t>WOS:000235857100012</t>
  </si>
  <si>
    <t>Henderson, GM; Hall, BL; Smith, A; Robinson, LF</t>
  </si>
  <si>
    <t>Control on (234U/238U) in lake water:: A study in the Dry Valleys of Antarctica</t>
  </si>
  <si>
    <t>uranium isotopes; dry valleys; Antarctica; weathering; lake chemistry</t>
  </si>
  <si>
    <t>TAYLOR VALLEY; SURFACE WATERS; HALF-LIVES; GEOCHEMISTRY; FRACTIONATION; EVOLUTION; SEDIMENTS; ISOTOPES; STREAMS; BONNEY</t>
  </si>
  <si>
    <t>The (U-234/U-238) ratio in surface waters is generally higher than secular equilibrium due to nuclide recoil during alpha-decay of U-238. The size of the deviation from secular equilibrium contains information about the environment in which the water is found. This potential tool for environmental reconstruction has previously been studied in rivers, groundwater, and sediment pore-water. Here we conduct a first assessment of the controls on (U-234/U-238) in lakewaters. Thirty-three waters from glacial melt, streams, and lakes of the McMurdo Dry Valleys (Antarctica) were analysed for U concentration and isotope ratio. Glacial melt has a low U concentration and a (U-234/U-238) identical to seawater, suggesting that U in Antarctic ice is largely sourced from sea-salt aerosols. Stream waters have higher U concentration (0.009 to 1.282 ppb) and (U-234/U-238) (1.280 to 1.832) due to chemical weathering of sediment in stream channels and 234 U recoil from this sediment. Average (U-234/U-238) is 1.502, close to the average of observations from other surface waters worldwide. The absence of groundwaters in the Dry Valleys indicates that reasonably high (U-234/U-238) ratios do not require groundwater sources of U, so care should be taken before using high (U-234/U-238) as an indicator of groundwater inputs to stream waters. Lakewaters have U concentrations ranging from 0.027 to 46 ppb (i.e. up to 14 times the seawater concentration) and (U-234/U-238) from 1.05 to 4.50. Young takes have (U-234/U-238) which reflects the sources of U. In one case (Lake Joyce) a (U-234/U-238) lower than seawater may suggest U sourced from melting of old ice in which U-234 excess has partially decayed. In older lakes, (U-234/U-238) is significantly higher than that in the inputs due to addition of recoil U-234 from sediments underlying the lake. The size of the deviation from secular equilibrium can only be explained, however, if recoil from a large area of sediment is considered. This is reasonable for the two lakes with particularly high (U-234/U-238) (Bonney, Vanda) which are both relicts of much larger lakes present during the last glacial period. On the basis of this study, the addition of recoil U-234 to lake water is expected to be a general feature, and to cause a noticeable increase in (U-234/U-238) for lakes with a U residence time of more than a few thousand years. (c) 2005 Elsevier B.V. All rights reserved.</t>
  </si>
  <si>
    <t>Univ Oxford, Dept Earth Sci, Oxford OX1 3PR, England; Univ Maine, Dept Geol Sci, Orono, ME 04469 USA; Univ Maine, Inst Quaternary Studies, Orono, ME 04469 USA</t>
  </si>
  <si>
    <t>University of Oxford; University of Maine System; University of Maine Orono; University of Maine System; University of Maine Orono</t>
  </si>
  <si>
    <t>Univ Oxford, Dept Earth Sci, Oxford OX1 3PR, England.</t>
  </si>
  <si>
    <t>gideonh@earth.ox.ac.uk</t>
  </si>
  <si>
    <t>Robinson, Laura/0000-0001-6811-0140; Henderson, Gideon/0000-0002-6279-7137</t>
  </si>
  <si>
    <t>10.1016/j.chemgeo.2005.09.026</t>
  </si>
  <si>
    <t>WOS:000235857100014</t>
  </si>
  <si>
    <t>Eagles, G; Livermore, R; Morris, P</t>
  </si>
  <si>
    <t>Small basins in the Scotia Sea: The Eocene Drake Passage gateway</t>
  </si>
  <si>
    <t>Antarctic Circumpolar Current; Antarctic glaciation; Drake Passage; Eocene; gateways; Scotia Sea</t>
  </si>
  <si>
    <t>CARBON-DIOXIDE CONCENTRATIONS; SOUTHERN-OCEAN; CIRCULATION; ANTARCTICA; GLACIATION; EVOLUTION; ATLANTIC; DEPTH; FLOW; ARC</t>
  </si>
  <si>
    <t>After isostatic correction for their sedimentary fill, the depths of two small oceanic basins in the southern Scotia Sea suggest that both started to open in mid to late Eocene times. Models of the short magnetic anomaly profiles across the basins provide support for these determinations. The location of the basins, adjacent to the present-day Drake Passage marine gateway, and the timing of continental stretching leading up to their opening, during the Ypresian (early Eocene) onset of global cooling, mean that their importance is potentially far greater than their small size implies. Extension in the region of the two basins would have opened Drake Passage to shallow or intermediate depth oceanic circulation between the Pacific and Atlantic oceans for the first time. This coincided with a reorganisation of vertical mixing patterns in the global ocean, a shift in the site of carbon sequestration from coal swamps and peatlands to ocean sediments, and the onset of a long decline in atmospheric carbon dioxide concentrations. Cenozoic global cooling may therefore have begun as a result of the shallow opening of Drake Passage. (c) 2005 Elsevier B.V. All rights reserved.</t>
  </si>
  <si>
    <t>Alfred Wegener Inst Polar &amp; Marine Res, D-27568 Bremerhaven, Germany; British Antarctic Survey, Cambridge CB3 0ET, England</t>
  </si>
  <si>
    <t>Alfred Wegener Inst Polar &amp; Marine Res, Columbusstr, D-27568 Bremerhaven, Germany.</t>
  </si>
  <si>
    <t>geagles@awi-bremerhaven.de</t>
  </si>
  <si>
    <t>Livermore, Roy/M-1566-2019</t>
  </si>
  <si>
    <t>Eagles, Graeme/0000-0001-5325-0810</t>
  </si>
  <si>
    <t>10.1016/j.epsl.2005.11.060</t>
  </si>
  <si>
    <t>019RT</t>
  </si>
  <si>
    <t>WOS:000235855100008</t>
  </si>
  <si>
    <t>Blender, R; Fraedrich, K; Hunt, B</t>
  </si>
  <si>
    <t>Millennial climate variability: GCM-simulation and Greenland ice cores</t>
  </si>
  <si>
    <t>The low frequency variability of the near surface temperature in a climate simulation is compared with Greenland ice core delta O-18 time series during the holocene. The simulation is performed with the coupled CSIRO atmosphere-ocean model under present-day conditions. The variability, analyzed by the detrended fluctuation analysis, reveals power-law scaling of the power-spectrum for frequency f, S( f) similar to f(-beta), and long term memory (LTM) given by beta &gt; 0. The near surface temperature shows intense LTM in the North Atlantic south of Greenland, weak LTM in parts of the Antarctic ocean and the tropical Atlantic, and no LTM in the Pacific ocean. The power-law exponent beta approximate to 0.5 near Greenland agrees with ice core temperature proxies up to time scales of 1000 years. The LTM of the surface temperature is explained by the high low frequency variability of the zonally averaged stream-function in the Atlantic with maxima in the Arctic ocean.</t>
  </si>
  <si>
    <t>Univ Hamburg, Inst Meteorol, D-20146 Hamburg, Germany; CSIRO, Div Atmospher Res, Aspendale, Vic 3195, Australia</t>
  </si>
  <si>
    <t>University of Hamburg; Commonwealth Scientific &amp; Industrial Research Organisation (CSIRO)</t>
  </si>
  <si>
    <t>Univ Hamburg, Inst Meteorol, Bundesstr 55, D-20146 Hamburg, Germany.</t>
  </si>
  <si>
    <t>fraedrich@dkrz.de</t>
  </si>
  <si>
    <t>FEB 25</t>
  </si>
  <si>
    <t>L04710</t>
  </si>
  <si>
    <t>10.1029/2005GL024919</t>
  </si>
  <si>
    <t>021EG</t>
  </si>
  <si>
    <t>WOS:000235965900002</t>
  </si>
  <si>
    <t>Fundel, F; Fischer, H; Weller, R; Traufetter, F; Oerter, H; Miller, H</t>
  </si>
  <si>
    <t>Influence of large-scale teleconnection patterns on methane sulfonate ice core records in Dronning Maud Land</t>
  </si>
  <si>
    <t>ANTARCTIC SEA-ICE; DEEP-DRILLING SITE; PAST 2 KYR; METHANESULFONIC-ACID; EUROPEAN PROJECT; SURFACE PRESSURE; SNOW CHEMISTRY; LAW DOME; VARIABILITY; SULFATE</t>
  </si>
  <si>
    <t>Records of methane sulfonate (MS-) in ice cores from the high plateau of Dronning Maud Land (DML), Antarctica, drilled in the framework of the European Project for Ice Coring in Antarctica, are investigated for their potential as an environmental and climate archive for the Atlantic sector of the Southern Ocean. Despite postdepositional changes, years of extraordinary MS- concentrations can be clearly detected in the ice core records. We use composite anomaly maps of atmospheric parameters from the National Centers for Environmental Prediction/National Center for Atmospheric Research reanalysis fields for years of extreme MS- concentration to detect atmospheric patterns causing MS- variability. Changing atmospheric transport is shown to be an important, but not exclusive, parameter being conserved in the MS- record in DML. The often hypothesized direct link between high MS- concentrations and El Nino events is not supported for the observed region whereas the Antarctic Dipole ( ADP), which is modulated by El Nino-Southern Oscillation conditions, exerts significant influence. A clear 13.9-year cycle can be found throughout a 2000-year MS- record that can be related to variations in the ADP. Over the last 300 years a 4.6-year cycle is revealed in the MS- ( and sea-salt record), which vanishes in the deeper part of the ice core as a consequence of diffusion processes. From the long-term perspective, periods of high MS- concentrations are connected to, on average, higher sea-salt aerosol as well, reflecting a seasonally independent influence of transport on both species. A distinctive period of efficient atmospheric transport, probably due to a pronounced ADP, could be found from 1200 to 1600 A.D.</t>
  </si>
  <si>
    <t>ffundel@awi-bremerhaven.de</t>
  </si>
  <si>
    <t>Fundel, Felix/C-5469-2009; Fischer, Hubertus/A-1211-2014</t>
  </si>
  <si>
    <t>Fischer, Hubertus/0000-0002-2787-4221; Miller, Heinrich/0000-0003-1015-2828</t>
  </si>
  <si>
    <t>D4</t>
  </si>
  <si>
    <t>D04103</t>
  </si>
  <si>
    <t>10.1029/2005JD005872</t>
  </si>
  <si>
    <t>021EP</t>
  </si>
  <si>
    <t>WOS:000235966800001</t>
  </si>
  <si>
    <t>Tossell, JA</t>
  </si>
  <si>
    <t>Calculation of the energetics for the oligomerization of gas phase HgO and HgS and for the solvolysis of crystalline HgO and HgS</t>
  </si>
  <si>
    <t>JOURNAL OF PHYSICAL CHEMISTRY A</t>
  </si>
  <si>
    <t>ATMOSPHERIC MERCURY; AB-INITIO; GASEOUS MERCURY; OXIDATION; CHEMISTRY; PRODUCT; OZONE; APPROXIMATION; SPRINGTIME; COMPLEXES</t>
  </si>
  <si>
    <t>Recent experimental studies indicate that gaseous elemental Hg (GEM) is rapidly oxidized to Hg(II) compounds, known collectively as reactive gaseous Hg (RGM), in Arctic and Antarctic regions after polar sunrise. The reduction in GEM is correlated with a reduction in surface 03 concentration, which is thought to be caused by photochemically initiated catalytic reactions involving halogen species, particularly Br and BrO. Initially, the reaction of Hg-0 and BrO to produce HgO and Br was thought to be the dominant reaction, but recent theoretical studies have decisively shown that this reaction is highly endoergic due to the low stability of monomeric gas-phase HgO. This result is in conflict with experimental data on the energetics of the species existing in the vapor over heated HgO (s). One possible explanation for this discrepancy is the existence of highly stable oligomers formed from HgO. Recent high-level quantum calculations on the dimers of HgO and HgS support this concept. In the present work, we systematically examine the structures, stabilities, and other properties of closed (HgX)(n) ring-type oligomers, n = 2, 3, 4, and 6, X = O, S, as well as infinite one-dimensional (1D) polymers of HgX (studied by using the periodic boundary condition DFT implementation in GAUSSIAN03). We find that the HgX ring oligomers become systematically more stable (per HgX unit) as n increases but that this stability levels off around n = 4-6. We also find that the ID chain polymers are only marginally more stable than the n = 6 oligomers. To estimate the energies of interaction between the chains in the 3-dimensional (3D) crystal structures of HgX (s), we adopt a cluster model and use the MP2 method to describe the interchain dispersion interactions. We have also obtained optimized geometries for open chain triplets for the dimers, finding them to be substantially more stable than the closed ringlike dimeric species previously described. Trends in relative energies and structures indicate that the higher n oligomers are fairly normal Hg(II) compounds that can be accurately described at low computational levels, as opposed to the monomer and dimer, which possess highly unusual bonding properties and require high-level methods for their description. Nonetheless, even the high n ring, oligomers show close approach of Hg atoms, consistent with a metallophilic-type stabilization. Calculated free energies for the interaction of HgO with H2O and with simple models for silicate surfaces are highly favorable, indicating that hydration and surface effects will greatly promote the formation of such species. Molecular cluster models of the HgX surface such as Hg2X(XH)(2) are used to calculate the energetics for solvolysis reactions with H2O or H2S, obtaining good agreement with experiment for the energetics of the dissolution reaction of HgS (s, cinnabar) with H2S.</t>
  </si>
  <si>
    <t>Univ Maryland, Dept Chem &amp; Biochem, College Pk, MD 20742 USA</t>
  </si>
  <si>
    <t>University System of Maryland; University of Maryland College Park</t>
  </si>
  <si>
    <t>Univ Maryland, Dept Chem &amp; Biochem, College Pk, MD 20742 USA.</t>
  </si>
  <si>
    <t>tossell@chem.umd.edu</t>
  </si>
  <si>
    <t>1089-5639</t>
  </si>
  <si>
    <t>1520-5215</t>
  </si>
  <si>
    <t>J PHYS CHEM A</t>
  </si>
  <si>
    <t>J. Phys. Chem. A</t>
  </si>
  <si>
    <t>FEB 23</t>
  </si>
  <si>
    <t>10.1021/jp056280s</t>
  </si>
  <si>
    <t>015OM</t>
  </si>
  <si>
    <t>WOS:000235560700032</t>
  </si>
  <si>
    <t>Martín, C; Hindmarsh, RCA; Navarro, FJ</t>
  </si>
  <si>
    <t>Dating ice flow change near the flow divide at Roosevelt Island, Antarctica, by using a thermomechanical model to predict radar stratigraphy</t>
  </si>
  <si>
    <t>WEST ANTARCTICA; SIPLE-DOME; ACCUMULATION PATTERN; HATHERTON GLACIER; SHEET; DEFORMATION; ISOCHRONES; WISCONSIN; HISTORY; STREAMS</t>
  </si>
  <si>
    <t>Radar-detected internal layering contained in some ice divides shows upwarped arches termed Raymond bumps. The distribution of their amplitude with height can date the onset of divide flow, reflecting changes in the basin structure of the ice sheet. The distribution depends on rheology, surface geometry, accumulation rate, and temperature. Conway et al. (1999) used an isothermal parameterized ice flow model to estimate a date of 3200 years B. P., with no error estimate, for the onset of divide flow in Roosevelt Island, Ross Ice Shelf, which they associated with grounding line retreat of the West Antarctic Ice Sheet. No other retreat dating exists for an area of the Ross Ice Shelf distant from geological exposures. Employing a full thermomechanically coupled transient model, we use a direct search to determine which ice rheology best fits the observed bump distribution and surface profile, estimating the sensitivity of the dating to model parameters and exploring possible reasons for the observed asymmetry of the surface profile. Our main results are as follows: (1) A best estimate of the date of grounding line retreat near Roosevelt Island is 3000 years B. P., bounded by 2300 and 4200 years B. P. (2) Standard rheology (power n = 3) can only match the observed bump distribution for unrealistic isothermal models. (3) For thermomechanically coupled models a high power (n = 4) in Glen's law is required. (4) Low-power rheologies and wind scouring cannot produce correct bump amplitude distributions. (5) Asymmetric accumulation cannot explain the observed asymmetry of the surface profile. (6) Modeling isochrones in flanking regions also indicates changes in flow around 3000 years B. P.</t>
  </si>
  <si>
    <t>Univ Politecn Madrid, Dept Matemat Aplicada, ETSI Telecomun, E-28040 Madrid, Spain; British Antarctic Survey, Nat Environm Res Council, Div Phys Sci, Cambridge CB3 0ET, England</t>
  </si>
  <si>
    <t>Universidad Politecnica de Madrid; UK Research &amp; Innovation (UKRI); Natural Environment Research Council (NERC); NERC British Antarctic Survey</t>
  </si>
  <si>
    <t>Univ Politecn Madrid, Dept Matemat Aplicada, ETSI Telecomun, Ciudad Univ, E-28040 Madrid, Spain.</t>
  </si>
  <si>
    <t>cmartin@mat.upm.es; rcah@bas.ac.uk; fnv@mat.upm.es</t>
  </si>
  <si>
    <t>Hindmarsh, Richard/N-1195-2019; Navarro, Francisco/L-2941-2014; Martin, Carlos/S-2778-2018</t>
  </si>
  <si>
    <t>Hindmarsh, Richard/0000-0003-1633-2416; Navarro, Francisco/0000-0002-5147-0067; Martin, Carlos/0000-0002-2661-169X</t>
  </si>
  <si>
    <t>FEB 22</t>
  </si>
  <si>
    <t>F01011</t>
  </si>
  <si>
    <t>10.1029/2005JF000326</t>
  </si>
  <si>
    <t>021ET</t>
  </si>
  <si>
    <t>WOS:000235967200001</t>
  </si>
  <si>
    <t>Hanson, JA; Bowman, JR</t>
  </si>
  <si>
    <t>Methods for monitoring hydroacoustic events using direct and reflected T waves in the Indian Ocean -: art. no. B02305</t>
  </si>
  <si>
    <t>RIDGE; SEA; ICE; AMSTERDAM; SEISMICITY; PACIFIC; PLATEAU; ARRAY; PACK</t>
  </si>
  <si>
    <t>The recent installation of permanent, three-element hydrophone arrays in the Indian Ocean offshore Diego Garcia and Cape Leeuwin, Australia, provides an opportunity to study hydroacoustic sources in more detail than previously possible. We developed and applied methods for coherent processing of the array data, for automated association of signals detected at more than one array, and for source location using only direct arrivals and using signals reflected from coastlines and other bathymetric features. During the 286-day study, 4725 hydroacoustic events were defined and located in the Indian and Southern oceans. Events fall into two classes: tectonic earthquakes and ice-related noise. The tectonic earthquakes consist of mid-ocean ridge, trench, and intraplate earthquakes. Mid-ocean ridge earthquakes are the most common tectonic events and often occur in clusters along transform offsets. Hydroacoustic signal levels for earthquakes in a standard catalog suggest that the hydroacoustic processing threshold for ridge events is one magnitude below the seismic network. Fewer earthquakes are observed along the Java Trench than expected because the large bathymetric relief of the source region complicates coupling between seismic and hydroacoustic signals, leading to divergent signal characteristics at different stations. We located 1843 events along the Antarctic coast resulting from various ice noises, most likely thermal fracturing and ice ridge forming events. Reflectors of signals from earthquakes are observed along coastlines, the mid-Indian Ocean and Ninety East ridges, and other bathymetric features. Reflected signals are used as synthetic stations to reduce location uncertainty and to enable event location with a single station.</t>
  </si>
  <si>
    <t>Sci Applicat Int Corp, Monitoring Syst Div, San Diego, CA 92121 USA</t>
  </si>
  <si>
    <t>Science Applications International Corporation (SAIC)</t>
  </si>
  <si>
    <t>Sci Applicat Int Corp, Monitoring Syst Div, 10260 Campus Point Dr,MS-A3, San Diego, CA 92121 USA.</t>
  </si>
  <si>
    <t>jeffrey.a.hanson@saic.com</t>
  </si>
  <si>
    <t>B02305</t>
  </si>
  <si>
    <t>10.1029/2004JB003609</t>
  </si>
  <si>
    <t>021FI</t>
  </si>
  <si>
    <t>WOS:000235968700001</t>
  </si>
  <si>
    <t>Guillas, S; Tiao, GC; Wuebbles, DJ; Zubrow, A</t>
  </si>
  <si>
    <t>Statistical diagnostic and correction of a chemistry-transport model for the prediction of total column ozone</t>
  </si>
  <si>
    <t>STRATOSPHERIC OZONE; 2-DIMENSIONAL MODEL; ASSIMILATION; SIMULATION; PARAMETERIZATION; UNCERTAINTIES; CIRCULATION; DEPLETION; AEROSOL; TRENDS</t>
  </si>
  <si>
    <t>In this paper, we introduce a statistical method for examining and adjusting chemical-transport models. We illustrate the findings with total column ozone predictions, based on the University of Illinois at Urbana-Champaign 2-D (UIUC 2-D) chemical-transport model of the global atmosphere. We propose a general diagnostic procedure for the model outputs in total ozone over the latitudes ranging from 60 degrees South to 60 degrees North to see if the model captures some typical patterns in the data. The method proceeds in two steps to avoid possible collinearity issues. First, we regress the measurements given by a cohesive data set from the SBUV(/2) satellite system on the model outputs with an autoregressive noise component. Second, we regress the residuals of this first regression on the solar flux, the annual cycle, the Antarctic or Arctic Oscillation, and the Quasi Biennial Oscillation. If the coefficients from this second regression are statistically significant, then they mean that the model did not simulate properly the pattern associated with these factors. Systematic anomalies of the model are identified using data from 1979 to 1995, and statistically corrected afterwards. The 1996 2003 validation sample confirms that the combined approach yields better predictions than the direct UIUC 2-D outputs.</t>
  </si>
  <si>
    <t>Georgia Inst Technol, Sch Math, Atlanta, GA 30332 USA; Univ Chicago, Grad Sch Business, Chicago, IL 60637 USA; Univ Illinois, Dept Atmospher Sci, Urbana, IL 61801 USA; Univ Chicago, Ctr Integrating Stat &amp; Environm Sci, Chicago, IL 60637 USA</t>
  </si>
  <si>
    <t>University System of Georgia; Georgia Institute of Technology; University of Chicago; University of Illinois System; University of Illinois Urbana-Champaign; University of Chicago</t>
  </si>
  <si>
    <t>Georgia Inst Technol, Sch Math, Atlanta, GA 30332 USA.</t>
  </si>
  <si>
    <t>guillas@math.gatech.edu</t>
  </si>
  <si>
    <t>; Guillas, Serge/A-2700-2012</t>
  </si>
  <si>
    <t>Zubrow, Alexis/0000-0001-8225-9806; Guillas, Serge/0000-0002-3910-3408</t>
  </si>
  <si>
    <t>FEB 21</t>
  </si>
  <si>
    <t>10.5194/acp-6-525-2006</t>
  </si>
  <si>
    <t>013IO</t>
  </si>
  <si>
    <t>WOS:000235403200001</t>
  </si>
  <si>
    <t>Hawley, RL; Morris, EM; Cullen, R; Nixdorf, U; Shepherd, AP; Wingham, DJ</t>
  </si>
  <si>
    <t>ASIRAS airborne radar resolves internal annual layers in the dry-snow zone of Greenland</t>
  </si>
  <si>
    <t>ICE-SHEET; ACCUMULATION RATE; VARIABILITY; ALTIMETER</t>
  </si>
  <si>
    <t>We present data from the European Space Agency's Airborne SAR/Interferometric Radar Altimeter System (ASIRAS), flown during the CryoVex 2004 field calibration/validation campaign, and new, high-resolution depth profiles of snow density measured in the field by neutron scattering. We combine these data to calculate the depth of internal reflecting horizons in the ASIRAS data. The high resolution density data allow us to identify annual layers in the snow density profile, and correlate their peaks with the reflecting horizons. We use the thickness of the annual layers combined with the density profile to determine the spatial and temporal pattern of snow accumulation along the radar track, for a period of 6 years from 1995-2002. Our mean-annual accumulation rate is 0.47 +/- 0.09 ma(-1) water equivalent, in agreement with the value determined from a core taken in this location in 1992. Similarly, our interannual variability shows the same trends as recent model estimates over the entire ice sheet. Because ASIRAS was designed to mimic as closely as possible the characteristics of the SAR/Interferometric Radar Altimeter (SIRAL), the principal payload of CryoSat, the detection of internal layering with ASIRAS illuminates the possibility of detecting internal layers with a space-borne radar, and thus the possible application of this technique to the dry-snow zones of Antarctica, Greenland, and smaller ice bodies.</t>
  </si>
  <si>
    <t>Univ Cambridge, Scott Polar Res Inst, Cambridge CB2 1ER, England; European Space Agcy, European Space Res &amp; Technol Ctr, NL-2200 AG Noordwijk, Netherlands; British Antarctic Survey, Cambridge CB3 0ET, England; Alfred Wegener Inst Polar &amp; Marine Res, D-27568 Bremerhaven, Germany; UCL, Ctr Polar Observat &amp; Modelling, London WC1E 6BT, England</t>
  </si>
  <si>
    <t>University of Cambridge; European Space Agency; UK Research &amp; Innovation (UKRI); Natural Environment Research Council (NERC); NERC British Antarctic Survey; Helmholtz Association; Alfred Wegener Institute, Helmholtz Centre for Polar &amp; Marine Research; University of London; University College London</t>
  </si>
  <si>
    <t>Hawley, RL (corresponding author), Univ Cambridge, Scott Polar Res Inst, Cambridge CB2 1ER, England.</t>
  </si>
  <si>
    <t>hawley@spri.cam.ac.uk</t>
  </si>
  <si>
    <t>Morris, Elizabeth M/A-6081-2012</t>
  </si>
  <si>
    <t>Shepherd, Andrew/0000-0002-4914-1299; Nixdorf, Uwe/0000-0002-6288-4361</t>
  </si>
  <si>
    <t>L04502</t>
  </si>
  <si>
    <t>10.1029/2005GL025147</t>
  </si>
  <si>
    <t>021DV</t>
  </si>
  <si>
    <t>WOS:000235964800004</t>
  </si>
  <si>
    <t>Topping, JN; Murray, JW; Pond, DW</t>
  </si>
  <si>
    <t>Sewage effects on the food sources and diet of benthic foraminifera living in oxic sediment: A microcosm experiment</t>
  </si>
  <si>
    <t>feeding ecology; foraminifera; lipids; microcosm experiment; sewage; southern UK</t>
  </si>
  <si>
    <t>FATTY-ACIDS; POLLUTION</t>
  </si>
  <si>
    <t>A microcosm experiment was conducted to investigate the effects of sewage-derived particulate organic matter (POM) on the food sources and diets of two species of intertidal benthic foraminifera, Ammonia beecarii and Haynesina germanica, using lipid biomarkers to determine trophic relationships. The lipid content of the sediment and associated micro-organisms was a guide to potential food sources while that of the foraminifera was a guide to what they had actually eaten. Six microcosm tanks were established, with constant salinity, temperature and oxygen content, and each with a thin layer of sediment containing living foraminifera. Three microcosms were used as controls and three were treatments to which the POM from secondary treated sewage was added. Each microcosm was treated as a single replicate (to avoid pseudoreplication). The experiment was run for 38 days. The results showed that the food sources (from the sediment) and the diet of the foraminifera did not significantly differ in the controls or the treatments, but quantities of fatty acids decreased in both the sediment system and the foraminifera over the duration of the experiment. It is concluded that sewage-POM (secondary treatment) does not have a direct effect on the food sources of the foraminifera or their diet. The foraminifera did not feed directly on the sewage-derived POM, nor did the addition of sewage stimulate growth of micro-organisms associated with the sediment system. However, recent field data collected by the authors provides evidence that season plays an important role in foraminiferal response to organic pollution (OP), and microcosm sediment might have been unknowingly collected at a time when foraminifera are now known not to respond to OP, i.e. in summer. (c) 2005 Elsevier B.V. All rights reserved.</t>
  </si>
  <si>
    <t>Natl Oceanog Ctr Southampton, Southampton SO14 3ZH, Hants, England; British Antarctic Survey, Div Biol Sci, Cambridge CB3 0ET, England</t>
  </si>
  <si>
    <t>University of Southampton; NERC National Oceanography Centre; UK Research &amp; Innovation (UKRI); Natural Environment Research Council (NERC); NERC British Antarctic Survey</t>
  </si>
  <si>
    <t>Natl Oceanog Ctr Southampton, Express Dock,European Way, Southampton SO14 3ZH, Hants, England.</t>
  </si>
  <si>
    <t>mail@julietteward.com</t>
  </si>
  <si>
    <t>10.1016/j.jembe.2005.09.013</t>
  </si>
  <si>
    <t>018MI</t>
  </si>
  <si>
    <t>WOS:000235768000008</t>
  </si>
  <si>
    <t>Tucceri, ME; Hölscher, D; Rodriguez, A; Dillon, TJ; Crowley, JN</t>
  </si>
  <si>
    <t>Absorption cross section and photolysis of OIO</t>
  </si>
  <si>
    <t>PHYSICAL CHEMISTRY CHEMICAL PHYSICS</t>
  </si>
  <si>
    <t>MARINE BOUNDARY-LAYER; TEMPERATURE-DEPENDENCE; HOMOGENEOUS NUCLEATION; IODINE CHEMISTRY; LASER PHOTOLYSIS; ANTARCTIC OZONE; SELF-REACTION; IO; KINETICS; FLUORESCENCE</t>
  </si>
  <si>
    <t>Pulsed laser photolysis combined with transient absorption spectroscopy and resonance fluorescence was used to examine the photolysis of OIO at a number of wavelengths corresponding to absorption bands in its visible spectrum between approximate to 530 and 570 nm. Photolysis at 532 nm was found to result in substantial depopulation of the absorbing ground state, enabling an estimate for the absorption cross section of OIO at 610.2 nm of (6 +/- 2) x 10(-18) cm(2) molecule(-1) to be obtained. No evidence was found for I atom formation following photolysis of OIO at 532, 562.3, 567.9 and 573.8 nm, enabling an upper limit to the I atom quantum yield of &lt; 0.05 (560-580 nm) and &lt; 0.24 (532 nm) to be established.</t>
  </si>
  <si>
    <t>crowley@mpch-mainz.mpg.de</t>
  </si>
  <si>
    <t>RODRIGUEZ, ANA/K-8873-2014; RODRIGUEZ, ANA/AAO-5930-2020; Dillon, Terry James/A-3921-2011; Tucceri, Maria Eugenia/E-1474-2019</t>
  </si>
  <si>
    <t>RODRIGUEZ, ANA/0000-0002-7125-9218; Dillon, Terry James/0000-0001-8974-9410; Tucceri, Maria Eugenia/0000-0003-2259-122X</t>
  </si>
  <si>
    <t>ROYAL SOC CHEMISTRY</t>
  </si>
  <si>
    <t>THOMAS GRAHAM HOUSE, SCIENCE PARK, MILTON RD, CAMBRIDGE CB4 0WF, CAMBS, ENGLAND</t>
  </si>
  <si>
    <t>1463-9076</t>
  </si>
  <si>
    <t>1463-9084</t>
  </si>
  <si>
    <t>PHYS CHEM CHEM PHYS</t>
  </si>
  <si>
    <t>Phys. Chem. Chem. Phys.</t>
  </si>
  <si>
    <t>10.1039/b512702e</t>
  </si>
  <si>
    <t>019BR</t>
  </si>
  <si>
    <t>WOS:000235811100006</t>
  </si>
  <si>
    <t>Machín, F; Pelegrí, JL</t>
  </si>
  <si>
    <t>Effect of the Canary Islands in the blockage and mixing of the North Atlantic eastern water masses</t>
  </si>
  <si>
    <t>BOUNDARY CURRENT; TRANSPORT; AFRICA; REGION; OCEAN</t>
  </si>
  <si>
    <t>We apply an inverse model to a hydrographic cruise that completely closes the Canary Islands to investigate their effect on the water masses transports. Most central waters are transported south between the eastern islands and the African coast, with 2.5 Sv out of a total of 3.5 Sv. Intermediate waters are effectively blocked by the islands passages, with Mediterranean/Antarctic waters predominantly found north/south of the islands, and most deep waters loop around the archipelago plateau. A process model upholds the existence of intense two-way exchange between central and intermediate waters along the eastern passage, with vertical velocities of order 10(-5) m s(-1).</t>
  </si>
  <si>
    <t>CSIC, ICM, E-08003 Barcelona, Spain</t>
  </si>
  <si>
    <t>Machín, F (corresponding author), CSIC, ICM, Passeig Maritim Barceloneta 37-49, E-08003 Barcelona, Spain.</t>
  </si>
  <si>
    <t>Pelegrí, Josep L/L-5815-2014; Machin, Francisco/A-9287-2009</t>
  </si>
  <si>
    <t>Pelegrí, Josep L/0000-0003-0661-2190; Machin, Francisco/0000-0002-4281-6804</t>
  </si>
  <si>
    <t>FEB 18</t>
  </si>
  <si>
    <t>L04605</t>
  </si>
  <si>
    <t>10.1029/2005GL025048</t>
  </si>
  <si>
    <t>017ED</t>
  </si>
  <si>
    <t>WOS:000235676000004</t>
  </si>
  <si>
    <t>Hill, HW; Flower, BP; Quinn, TM; Hollander, DJ; Guilderson, TP</t>
  </si>
  <si>
    <t>Laurentide Ice Sheet meltwater and abrupt climate change during the last glaciation</t>
  </si>
  <si>
    <t>NORTH-ATLANTIC; PLANKTONIC-FORAMINIFERA; ISOTOPIC COMPOSITION; OCEAN CIRCULATION; GREENLAND; SCALE; WATER; PRECIPITATION; TEMPERATURE; KA</t>
  </si>
  <si>
    <t>[1] A leading hypothesis to explain abrupt climate change during the last glacial cycle calls on fluctuations in the margin of the North American Laurentide Ice Sheet ( LIS), which may have routed fresh water between the Gulf of Mexico (GOM) and the North Atlantic, affecting North Atlantic Deep Water variability and regional climate. Paired measurements of delta O-18 and Mg/Ca of foraminiferal calcite from GOM sediments reveal five episodes of LIS meltwater input from 28 to 45 thousand years ago (ka) that do not match the millennial-scale Dansgaard-Oeschger warmings recorded in Greenland ice. We suggest that summer melting of the LIS may occur during Antarctic warming and likely contributed to sea level variability during marine isotope stage 3.</t>
  </si>
  <si>
    <t>Univ S Florida, Coll Marine Sci, St Petersburg, FL 33701 USA; Lawrence Livermore Natl Lab, Ctr Accelerator Mass Spectrometry, Livermore, CA 94550 USA; Univ Calif Santa Cruz, Dept Ocean Sci, Santa Cruz, CA 95064 USA; Univ Calif Santa Cruz, Inst Marine Sci, Santa Cruz, CA 95064 USA</t>
  </si>
  <si>
    <t>State University System of Florida; University of South Florida; United States Department of Energy (DOE); Lawrence Livermore National Laboratory; University of California System; University of California Santa Cruz; University of California System; University of California Santa Cruz</t>
  </si>
  <si>
    <t>Hill, HW (corresponding author), Univ S Florida, Coll Marine Sci, 140 7th Ave S, St Petersburg, FL 33701 USA.</t>
  </si>
  <si>
    <t>hhill@marine.usf.edu; bflower@marine.usf.edu</t>
  </si>
  <si>
    <t>Quinn, Terrence/A-5755-2008</t>
  </si>
  <si>
    <t>Guilderson, Thomas/0000-0001-9371-7059</t>
  </si>
  <si>
    <t>PA1006</t>
  </si>
  <si>
    <t>10.1029/2005PA001186</t>
  </si>
  <si>
    <t>017EY</t>
  </si>
  <si>
    <t>WOS:000235678100001</t>
  </si>
  <si>
    <t>Bernard, S; Röckmann, TR; Kaiser, J; Barnola, JM; Fischer, H; Blunier, T; Chappellaz, J</t>
  </si>
  <si>
    <t>Constraints on N2O budget changes since pre-industrial time from new firn air and ice core isotope measurements</t>
  </si>
  <si>
    <t>NITROUS-OXIDE; GAS CONCENTRATIONS; MASS-SPECTROMETRY; SITE PREFERENCE; FRACTIONATION; (NNO)-N-15-N-14; (NNO)-N-14-N-15; ABSORPTION; DEPENDENCE; RECORDS</t>
  </si>
  <si>
    <t>A historical record of changes in the N2O isotope composition is important for a better understanding of the global N2O atmospheric budget. Here we have combined measurements of trapped gases in the firn and in ice cores of one Arctic site ( North GReenland Ice core Project - NGRIP) and one Antarctic site (Berkner Island). We have performed measurements of the O-18 and position dependent N-15 isotopic composition of N2O. By comparing these data to simulations carried out with a firn air diffusion model, we have reconstructed the temporal evolution of the N2O isotope signatures since pre-industrial times. The decrease observed for all signatures is consistent from one pole to the other. Results obtained from the air occluded in the ice suggest a decrease of about -2.8 parts per thousand, -2.4 parts per thousand, -3.2 parts per thousand and -1.6 parts per thousand for delta N-15, (1)delta N-15, (2)delta N-15 and delta O-18, respectively, since 1700 AD. Firn air data imply a decrease of about -1.1 parts per thousand, -1.2 parts per thousand, -1.0 parts per thousand and -0.6 parts per thousand for delta N-15, (1)delta N-15, (2)delta N-15 and delta O-18, respectively, since 1970 AD. These results imply consistent trends from firn and ice measurements for delta N-15 and delta O-18. The trends for the intramolecular distribution of N-15 are less well constrained than the bulk N-15 trends because of the larger experimental error for the position dependent N-15 measurements. The decrease in the heavy isotope content of atmospheric N2O can be explained by the increasing importance of agriculture for the present atmospheric N2O budget.</t>
  </si>
  <si>
    <t>Max Planck Inst Nucl Phys, Heidelberg, Germany; UJF, CNRS, Lab Glaciol &amp; Geophys Environm, St Martin Dheres, France; Univ Utrecht, Inst Marine &amp; Atmospher Res Utrecht, Utrecht, Netherlands; Princeton Univ, Dept Geosci, Princeton, NJ 08544 USA; Alfred Wegener Inst Polar &amp; Marine Res, D-2850 Bremerhaven, Germany; Univ Bern, Climate &amp; Environm Phys Inst, Bern, Switzerland</t>
  </si>
  <si>
    <t>Max Planck Society; Centre National de la Recherche Scientifique (CNRS); Communaute Universite Grenoble Alpes; Universite Grenoble Alpes (UGA); Utrecht University; Princeton University; Helmholtz Association; Alfred Wegener Institute, Helmholtz Centre for Polar &amp; Marine Research; University of Bern</t>
  </si>
  <si>
    <t>Max Planck Inst Nucl Phys, Heidelberg, Germany.</t>
  </si>
  <si>
    <t>t.roeckmann@phys.uu.nl</t>
  </si>
  <si>
    <t>Chappellaz, Jérôme A./A-4872-2011; Kaiser, Jan/D-3327-2009; Fischer, Hubertus/A-1211-2014; Rockmann, Thomas/F-4479-2015; Blunier, Thomas/M-4609-2014</t>
  </si>
  <si>
    <t>Kaiser, Jan/0000-0002-1553-4043; Rockmann, Thomas/0000-0002-6688-8968; Blunier, Thomas/0000-0002-6065-7747</t>
  </si>
  <si>
    <t>FEB 16</t>
  </si>
  <si>
    <t>10.5194/acp-6-493-2006</t>
  </si>
  <si>
    <t>012VB</t>
  </si>
  <si>
    <t>WOS:000235367900001</t>
  </si>
  <si>
    <t>Yoo, SH; Yang, S; Ho, CH</t>
  </si>
  <si>
    <t>Yoo, Soo-Hyun; Yang, Song; Ho, Chang-i Ho</t>
  </si>
  <si>
    <t>Variability of the Indian Ocean sea surface temperature and its impacts on Asian-Australian monsoon climate</t>
  </si>
  <si>
    <t>ANTARCTIC CIRCUMPOLAR WAVE; SST DIPOLE EVENTS; SUMMER MONSOON; TROPICAL PACIFIC; ARABIAN SEA; INTERANNUAL VARIABILITY; ATMOSPHERIC BRIDGE; CAUTIONARY NOTE; EAST-ASIA; RAINFALL</t>
  </si>
  <si>
    <t>[1] In this study, the authors investigate the relationships between the Indian Ocean (IO) sea surface temperature (SST) and the Asian-Australian monsoon (AAM) on seasonal to interannual timescales. They focus on the dominant features of IO SST, the impacts of IO SST on different monsoon components, and the relative importance of the northern and southern IO for the AAM. The dominant mode of IO SST is often characterized by uniform warming or cooling, with maximum variance in the Southern Hemisphere. This mode exerts a larger impact on monsoon variability than does the tropical IO dipole. The IO SST is strongly persistent from the boreal fall to the next spring even summer and less persistent from boreal summer to fall, a feature related to seasonal alternation of the dominance of the impacts of Pacific and IO SSTs on the Asian-Australian monsoons. While the tropical central Pacific SST exerts an apparently larger impact on the monsoon climate in the boreal winter and the transitional seasons, the IO SST affects the summer regional climate more strongly. The springtime IO SST leads to opposite changes in the south Asian monsoon (SAM) and the Southeast Asian monsoon ( SEAM), reinforcing the out-of-phase relationship that appears often between the two monsoon components. While a warmer IO strengthens the SAM, it weakens the SEAM. Furthermore, the southern IO SST is related to the Asian summer monsoon more closely than the northern IO SST. The boreal fall IO SST, especially that in the north IO, is strongly associated with the subsequent Australian summer monsoon.</t>
  </si>
  <si>
    <t>Seoul Natl Univ, Sch Earth &amp; Environm Sci, Seoul 151742, South Korea; NOAA, RS Informat Syst Inc, Climate Predict Ctr, Natl Ctr Environm Predict,Natl Weather Serv, Camp Springs, MD 20746 USA</t>
  </si>
  <si>
    <t>Seoul National University (SNU); National Oceanic Atmospheric Admin (NOAA) - USA</t>
  </si>
  <si>
    <t>Yoo, SH (corresponding author), Seoul Natl Univ, Sch Earth &amp; Environm Sci, Seoul 151742, South Korea.</t>
  </si>
  <si>
    <t>soo-hyun.yoo@noaa.gov</t>
  </si>
  <si>
    <t>Yang, Song/B-4952-2009; Ho, Chang-Hoi/H-8354-2015</t>
  </si>
  <si>
    <t>FEB 15</t>
  </si>
  <si>
    <t>D03108</t>
  </si>
  <si>
    <t>10.1029/2005JD006001</t>
  </si>
  <si>
    <t>065ZW</t>
  </si>
  <si>
    <t>WOS:000239200000002</t>
  </si>
  <si>
    <t>Sloyan, BM</t>
  </si>
  <si>
    <t>Sloyan, Bernadette M.</t>
  </si>
  <si>
    <t>Antarctic bottom and lower circumpolar deep water circulation in the eastern Indian Ocean</t>
  </si>
  <si>
    <t>WESTERN-BOUNDARY CURRENT; SOUTHERN-OCEAN; OVERTURNING CIRCULATION; SPATIAL VARIABILITY; BRAZIL BASIN; MIXING RATES; GLOBAL OCEAN; TOPOGRAPHY; ATLANTIC; ENERGY</t>
  </si>
  <si>
    <t>[ 1] Net northward transport below gamma(n) &gt; 28.1 kg m(-3) (approximate to 3200 m) into the Perth Basin of between 4.4 and 5.8 Sv is estimated from a year-long current meter mooring array between the Broken and Naturaliste plateaus. Northward transport of between 2.0 and 2.5 Sv of Antarctic Bottom Water (gamma(n) &gt; 28.2 kg m(-3)), that must upwell within the southern region of the Perth Basin, results in an area-averaged diapycnal velocity and diffusivity of w* = 2.5 - 3.1 x 10(-6) m s(-1) and k = 13 - 15 x 10(-4) m(2) s(-1), respectively. Diffusivity estimates for the Perth Basin are several times larger than area-averaged mixing estimates for the abyssal subtropical South Atlantic and Pacific oceans. However, the dissipation of turbulent kinetic energy required to maintain the abyssal mixing in the Perth Basin, epsilon = O(10(-9) W kg(-1)), is similar to that required in the South Atlantic Ocean. The area-averaged diffusivity in the Perth Basin does not require unreasonable energy dissipation rates as this ocean basin is only weakly stratified. The abyssal diffusivity of the Perth Basin results from intense mixing at the basin boundary and in the basin interior over rough topography. The complex bathymetry and low abyssal stratification suggests that the Indian Ocean, for a given energy dissipation, may support a larger meridional overturning circulation than other subtropical basins.</t>
  </si>
  <si>
    <t>Woods Hole Oceanog Inst, Woods Hole, MA 02543 USA</t>
  </si>
  <si>
    <t>Woods Hole Oceanographic Institution</t>
  </si>
  <si>
    <t>Sloyan, BM (corresponding author), CSIRO Marine &amp; Atmospher Res, Castray Esplanade, Hobart, Tas 7000, Australia.</t>
  </si>
  <si>
    <t>bernadette.sloyan@csiro.au</t>
  </si>
  <si>
    <t>Sloyan, Bernadette/N-8989-2014</t>
  </si>
  <si>
    <t>Sloyan, Bernadette/0000-0003-0250-0167</t>
  </si>
  <si>
    <t>C2</t>
  </si>
  <si>
    <t>C02006</t>
  </si>
  <si>
    <t>10.1029/2005JC003011</t>
  </si>
  <si>
    <t>066AD</t>
  </si>
  <si>
    <t>WOS:000239200700001</t>
  </si>
  <si>
    <t>Anilkumar, N; Sarma, YVB; Babu, KN; Sudhakar, M; Pandey, PC</t>
  </si>
  <si>
    <t>Post-tsunami oceanographic conditions in southern Arabian Sea and Bay of Bengal</t>
  </si>
  <si>
    <t>Arabian Sea; Bay of Bengal; oceanographic conditions; tsunami</t>
  </si>
  <si>
    <t>Physical oceanographic conditions along the east and west coasts of India immediately after the recent devastating tsunami are presented here. The thermocline in the southeast coast exhibited trivial downward tilt towards north. A mixed layer deepening (&gt; 50 m) associated with low-salinity (&lt; 34 psu) and relatively colder water is noticed in the Gulf of Mannar region and along east coast of India. The low-salinity waters observed are apparently from the Bay of Bengal, driven along the coast into the Arabian Sea by north equatorial current between equator and 10 degrees N, and the southward-flowing east India coastal current. A high-salinity tongue (&gt; 36.0 psu) was identified as the Arabian Sea high salinity water mass along the west coast of India around 100 m depth up to 10 degrees N. The heat content changes closely followed similar changes in the depth of the 20 degrees C isotherm. Turbidity measurements using light scattering sensor showed the existence of two layers of high-scattering, one around 40 m and the other around 250 m. The shallow high-scattering layer is associated with high chlorophyll a concentration, but the deeper high-scattering layer noticed at shallow stations off the west and east coasts of India may be due to the resuspension of the sea-floor sediments due to turbulence generated by the tsunami.</t>
  </si>
  <si>
    <t>Natl Ctr Antarctic &amp; Ocean Res, Headland Sada 403804, Goa, India; Natl Inst Oceanog, Panaji 403004, Goa, India</t>
  </si>
  <si>
    <t>Anilkumar, N (corresponding author), Natl Ctr Antarctic &amp; Ocean Res, Headland Sada 403804, Goa, India.</t>
  </si>
  <si>
    <t>anil@ncaor.or.arg</t>
  </si>
  <si>
    <t>FEB 10</t>
  </si>
  <si>
    <t>014RM</t>
  </si>
  <si>
    <t>WOS:000235497600028</t>
  </si>
  <si>
    <t>Cai, W</t>
  </si>
  <si>
    <t>Antarctic ozone depletion causes an intensification of the Southern Ocean super-gyre circulation</t>
  </si>
  <si>
    <t>HEMISPHERE; TRENDS</t>
  </si>
  <si>
    <t>Recent climate trends over the Southern Hemisphere (SH) summer feature a strengthening of the circumpolar westerly and a weakening of the midlatitude westerly extending from the stratosphere to Earth's surface. Much of the change is attributable to Antarctic ozone depletion. However, the consequential ocean circulation changes are unknown. Here I demonstrate that the observed surface wind changes have forced a southward shift and spin-up of the super gyre, which links the subtropical South Pacific, Indian and Atlantic Ocean circulation, advecting more warm water southward. The circulation change includes a strengthening of the East Australian Current (EAC) flow passing through the Tasman Sea. The southward shift may be responsible for the observed unusually large warming in the SH midlatitude ocean and may contribute to the reported range extension to the south of many marine species in the South West Pacific.</t>
  </si>
  <si>
    <t>CSIRO Marine &amp; Atmospher Res, Aspendale, Vic 3195, Australia</t>
  </si>
  <si>
    <t>Commonwealth Scientific &amp; Industrial Research Organisation (CSIRO)</t>
  </si>
  <si>
    <t>CSIRO Marine &amp; Atmospher Res, PMB 1, Aspendale, Vic 3195, Australia.</t>
  </si>
  <si>
    <t>wenju.cai@csiro.au</t>
  </si>
  <si>
    <t>Cai, Wenju/C-2864-2012</t>
  </si>
  <si>
    <t>Cai, Wenju/0000-0001-6520-0829</t>
  </si>
  <si>
    <t>L03712</t>
  </si>
  <si>
    <t>10.1029/2005GL024911</t>
  </si>
  <si>
    <t>012TG</t>
  </si>
  <si>
    <t>WOS:000235362000003</t>
  </si>
  <si>
    <t>Pereira, EB; Evangelista, H; Pereira, KCD; Cavalcanti, IFA; Setzer, AW</t>
  </si>
  <si>
    <t>Apportionment of black carbon in the South Shetland Islands, Antarctic Peninsula</t>
  </si>
  <si>
    <t>KING-GEORGE-ISLAND; AEROSOL; SOOT; TRANSPORT; BIOMASS; ATMOSPHERE; EMISSIONS; AMAZONIA; CLIMATE; SURFACE</t>
  </si>
  <si>
    <t>[1] Simultaneous time series measurements of black carbon ( BC), aerosol particle number (ANC), radon, and SEM-EDS analysis for total carbon were collected at the Brazilian Antarctic station Ferraz, northwest of the Antarctic Peninsula (62 degrees 05'S, 58 degrees 23.5'W) for the years of 1993, 1997, and 1998. A new data screening technique was applied in an effort to distinguish long-range from local contaminations of BC. Analyses of data revealed a small increase in BC concentration during winter-to-spring seasons. The mean annual BC concentration of 8.3 ng m(-3) was consistent with global model estimates for this region. The intermittent coupling mechanism between the regional circulation of the low-level jets and the passages of the frontal systems explained the transport of BC from areas of burning biomass in Brazil to the northern Antarctic Peninsula. Principal component analysis applied to BC, Radon, ANC, and meteorological data presented significant factor loadings linking BC with Rn-222 and with wind velocity corroborating with this hypothesis.</t>
  </si>
  <si>
    <t>Natl Inst Space Sci, Ctr Weather Forecasts &amp; Climate Studies, BR-12630000 Cachoeira Paulista, SP, Brazil; Univ Estado Rio De Janeiro, Lab Radioecol &amp; Global Change, BR-20550013 Rio De Janeiro, Brazil</t>
  </si>
  <si>
    <t>Instituto Nacional de Pesquisas Espaciais (INPE); Universidade do Estado do Rio de Janeiro</t>
  </si>
  <si>
    <t>Natl Inst Space Sci, Ctr Weather Forecasts &amp; Climate Studies, BR-12630000 Cachoeira Paulista, SP, Brazil.</t>
  </si>
  <si>
    <t>eniobp@cptec.inpe.br</t>
  </si>
  <si>
    <t>Pereira, Enio/AAH-3308-2020; Evangelista, Heitor/C-7561-2013; de albuquerque cavalcanti, iracema fonseca/AAB-1259-2021; Setzer, Alberto W/HCI-4388-2022; Cavalcanti, Iracema/C-5243-2009</t>
  </si>
  <si>
    <t>Pereira, Enio/0000-0002-5095-0085; Setzer, Alberto W/0000-0002-2466-7366;</t>
  </si>
  <si>
    <t>D3</t>
  </si>
  <si>
    <t>D03303</t>
  </si>
  <si>
    <t>10.1029/2005JD006086</t>
  </si>
  <si>
    <t>012TM</t>
  </si>
  <si>
    <t>WOS:000235362800001</t>
  </si>
  <si>
    <t>Barrett, PJ; Florindo, F; Cooper, AK</t>
  </si>
  <si>
    <t>Introduction to 'Antarctic climate evolution: View from the margin'</t>
  </si>
  <si>
    <t>VICTORIA LAND BASIN; GLACIOEUSTATIC SEDIMENTARY CYCLES; CENOZOIC LANDSCAPE EVOLUTION; CAPE-ROBERTS PROJECT; EAST ANTARCTICA; ICE-SHEET; LATE QUATERNARY; GLACIAL MARINE; EARLY MIOCENE; ROSS SEA</t>
  </si>
  <si>
    <t>Victoria Univ Wellington, Antarctic Res Ctr, Wellington, New Zealand; Ist Nazl Geofis &amp; Vulcanol, I-00143 Rome, Italy; Stanford Univ, Dept Geog &amp; Environm Sci, Stanford, CA 94305 USA</t>
  </si>
  <si>
    <t>Victoria University Wellington; Istituto Nazionale Geofisica e Vulcanologia (INGV); Stanford University</t>
  </si>
  <si>
    <t>Barrett, PJ (corresponding author), Victoria Univ Wellington, Antarctic Res Ctr, Kelburn Parade, Wellington, New Zealand.</t>
  </si>
  <si>
    <t>peter.barrett@vuw.ac.nz</t>
  </si>
  <si>
    <t>Florindo, Fabio/AAU-2548-2021; Florindo, Fabio/M-1459-2019; Florindo, Fabio/F-4119-2010</t>
  </si>
  <si>
    <t>Florindo, Fabio/0000-0002-6058-9748; Florindo, Fabio/0000-0002-6058-9748</t>
  </si>
  <si>
    <t>FEB 9</t>
  </si>
  <si>
    <t>10.1016/j.palaeo.2005.08.003</t>
  </si>
  <si>
    <t>019PT</t>
  </si>
  <si>
    <t>WOS:000235849900001</t>
  </si>
  <si>
    <t>Huber, M; Nof, D</t>
  </si>
  <si>
    <t>The ocean circulation in the southern hemisphere and its climatic impacts in the Eocene</t>
  </si>
  <si>
    <t>32nd International Geological Congress</t>
  </si>
  <si>
    <t>AUG 20-28, 2004</t>
  </si>
  <si>
    <t>Florence, ITALY</t>
  </si>
  <si>
    <t>ATMOSPHERIC CARBON-DIOXIDE; POLEWARD ENERGY-TRANSPORT; HEAT-TRANSPORT; STRATOSPHERIC CLOUDS; ANTARCTIC GLACIATION; THERMAL-GRADIENTS; ISOTOPE RECORDS; NATIONAL CENTER; MIDDLE EOCENE; DRAKE PASSAGE</t>
  </si>
  <si>
    <t>Opening of Southern Ocean gateways may have had a controlling influence oil the evolution of global climate. The largest step in the history of Cenozoic climate, from an Eocene Greenhouse toward the modern glaciated state, is correlated with opening of a deep water connection between the Southern Indian and Southern Pacific Oceans. This Study synthesizes results from previous work, assesses the possibility that ocean heat transport was Much greater than modern during the globally warm Eocene, and explores the sensitivity of polar climate to large changes in ocean heat transport. The magnitudes of these sensitivities are compared with those Clue to greenhouse gas concentration changes. We find that ocean heat transport was unlikely to have been sufficiently greater than modern during the Eocene to explain the change in the climate. Specifically, in order to have significantly affected Antarctic climate, ocean heat transport changes Would have had to change by all order of magnitude-much greater than the largest change produced in our simulations. In coupled climate model simulations, changes in CO2 concentrations(from 1120 to 560 ppm) Supported by proxy records, lead to significant Antarctic responses in the absence of ocean heat transport changes. The results show that Antarctic Snow accumulation is primarily controlled by change., ill summer temperature, not precipitation, and that snow did not remain oil Antarctica during summer months in Eocene even at low greenhouse gas concentrations. Greenhouse gas concentration changes and Subsequent processes such as ice albedo and weathering feedbacks, were more likely to have been the primary Cause of Antarctic glaciation than ocean heat transport changes. (c) 2005 Elsevier B.V. All rights reserved.</t>
  </si>
  <si>
    <t>Purdue Climate Change Res Ctr, W Lafayette, IN USA; Purdue Univ, Dept Earth &amp; Atmospher Sci, W Lafayette, IN 47907 USA; Florida State Univ, Dept Oceanog, Tallahassee, FL 32306 USA; Florida State Univ, Inst Geophys Fluid Dynam, Tallahassee, FL 32306 USA</t>
  </si>
  <si>
    <t>Purdue University System; Purdue University; Purdue University System; Purdue University; State University System of Florida; Florida State University; State University System of Florida; Florida State University</t>
  </si>
  <si>
    <t>Purdue Climate Change Res Ctr, W Lafayette, IN USA.</t>
  </si>
  <si>
    <t>huberm@purdue.edu</t>
  </si>
  <si>
    <t>Huber, Matthew/A-7677-2008</t>
  </si>
  <si>
    <t>Huber, Matthew/0000-0002-2771-9977</t>
  </si>
  <si>
    <t>10.1016/j.palaeo.2005.07.037</t>
  </si>
  <si>
    <t>WOS:000235849900002</t>
  </si>
  <si>
    <t>Pekar, SF; DeConto, RM; Harwood, DM</t>
  </si>
  <si>
    <t>Resolving a late Oligocene conundrum: Deep-sea wanning and Antarctic glaciation</t>
  </si>
  <si>
    <t>Oligocene; oxygen isotopes; sea-level; ice volume; Antarctica</t>
  </si>
  <si>
    <t>ICE-SHEET; CONTINENTAL-MARGIN; DRAKE PASSAGE; SOUTHERN-OCEAN; LATE EOCENE; WATER; CIRCULATION; TERTIARY; EUSTASY; SEQUENCES</t>
  </si>
  <si>
    <t>Changes in ice volume and resulting changes in sea level were determined for the late Oligocene (26-23 Ma, Astronomical Timescale, XFS) by applying delta O-18-to-sea-level calibrations to deep-sea delta O-18 records from ODP Sites 689, 690, 929, 1090, and 1218. Our results show that maximum global ice volume Occurred during two late Oligocene delta O-18 events, Oi2c (24.4 Ma) and Mil (23.0 Ma) (inferred glacioeustatic lowering), with volumes Up to similar to 25% greater than the present-day East Antarctic Ice Sheet (EAIS). Ice volume during glacial minima was on the order of about 50% of the present-day EAIS. This is supported by late Oligocene stratigraphic records from Antarctica that contain evidence of cold climates and repeated episodes of glaciation at sea level and grounding lines of glacial ice on the Antarctic continental shelf in the Ross Sea and Prydz Bay. In contrast, composite deep-sea delta O-18 records show a significant decrease (&gt;= 1 parts per thousand) between 26.7 and 23.5 Ma, which have long been interpreted as bottom-water warming combined with deglaciation of Antarctica. However, a close examination of individual PO records indicates a clear divergence after 26.8 Ma between records from Southern Ocean locations (i.e., Ocean Drilling Program Sites 689, 690, 744) and those of other ocean basins. High, delta O-18 values (2.9 parts per thousand - 3.3 parts per thousand) from these Southern Ocean delta O-18 records are consistent with an ice sheet on the East Antarctic continent equivalent to present-day values and cold bottom-water temperatures (&lt;= 2.0 degrees C). These differences suggest a reduction in deep-water produced near the Antarctic continent (i.e., proto-Antarctic Bottom Water, proto-AABW), which were quickly entrained and mixed with warmer (and presumably more saline) bottom-water originating from lower latitudes. Expansion of a warmer deep-water mass and the weakening of the proto-AABW may explain the large intra-basinal isotopic gradients that developed among late Oligocene benthic 6180 records. These conclusions are also Supported by ocean modeling Suggesting a reduction of deep-water formed in the Southern Ocean, strengthening of deep-water From the northern hemisphere, and decreasing temperatures in high southern latitudes occurred as the Drake Passage opened to deep-water. Low 6180 values reported from deep-sea locations Other than the Southern Ocean are shown to bias estimates of Antarctic ice Volume, calling for a re-evaluation of the notion that Antarctic ice volume was significantly reduced during the late Oligocene. (c) 2005 Elsevier B.V. All rights reserved.</t>
  </si>
  <si>
    <t>CUNY Queens Coll, Sch Earth &amp; Environm Sci, Flushing, NY 11367 USA; Columbia Univ, Lamont Doherty Earth Observ, Palisades, NY 10964 USA; Univ Massachusetts, Dept Geosci, Amherst, MA 01003 USA; Univ Nebraska, Dept Geosci, Lincoln, NE 68588 USA</t>
  </si>
  <si>
    <t>City University of New York (CUNY) System; Queens College NY (CUNY); Columbia University; University of Massachusetts System; University of Massachusetts Amherst; University of Nebraska System; University of Nebraska Lincoln</t>
  </si>
  <si>
    <t>CUNY Queens Coll, Sch Earth &amp; Environm Sci, 65-30 Kissena Blvd, Flushing, NY 11367 USA.</t>
  </si>
  <si>
    <t>speaker@qcl.qc.edu</t>
  </si>
  <si>
    <t>10.1016/j.palaeo.2005.07.024</t>
  </si>
  <si>
    <t>WOS:000235849900003</t>
  </si>
  <si>
    <t>Prebble, JG; Raine, JI; Barrett, PJ; Hannah, MJ</t>
  </si>
  <si>
    <t>Vegetation and climate from two Oligocene glacioeustatic sedimentary cycles (31 and 24 Ma) cored by the Cape Roberts Project, Victoria Land Basin, Antarctica</t>
  </si>
  <si>
    <t>Antarctica; Oligocene; miospores; paleobotany; paleoenvironment</t>
  </si>
  <si>
    <t>PLIOCENE SIRIUS GROUP; TRANSANTARCTIC MOUNTAINS; ICE-SHEET; CHRONOLOGY; TRANSITION; GLACIATION; EOCENE; MARGIN; LEAVES; SEA</t>
  </si>
  <si>
    <t>The Cape Roberts Project recovered over 1500 m of coastal glaciomarine sediments of Oligocene and Early Miocene age off the Ross Sea margin of Antarctica. The strata are characterised by cyclic repetition of facies in a glaciomarine setting, and are interpreted to be a record of glacial-interglacial episodes involving significant changes ill eustatic sea level oil Milankovitch frequencies. We have Undertaken a detailed Study of pollen and spores (miospores) from an Early Oligocene (31 Ma), and a Late Oligocene (24 Ma) cycle. Although miospores are sparse in the core, averaging only similar to 1 grain per grain of sediment processed, over 1200 Cenozoic miospores were recovered for this study. Previous studies of miospores from Ross Sea sediments have encountered problems differentiating between reworked and in Situ palynomorphs. Here, only samples containing a low relative abundance of all Eocene dinoflagellate cyst assemblage (the Transantarctic Flora) have been used to infer the contemporaneous Oligocene miospore flora. The flora of the Early Oligocene cycle is dominated by three species of Nothofagidites, and four types of Podocarpidites. The assemblage from the Upper Oligocene cycle is also dominated by Nothofagidites and Podocarpidites, bill with the addition of two distinctive taxa, in angiosperm pollen and a bryophyte spore. Notwithstanding these additions, there is a slight decrease in floral diversity between the two cycles. While this study confirms that some floristic changes did occur between Early and Late Oligocene time oil the Victoria Land coast, the present data suggest that the Changes were not extensive. It is likely that the vegetation of both cycles was a low diversity scrub of low stature, consisting of mainly Nothofagus, podocarps, and bryophytes. Modern analogues suggest that this vegetation was growing ill a climate significantly warmer (Mean Summer Monthly Temperature 4-12 degrees C) than is found on the present day Victoria Land (MSMT -5 degrees C), although colder that the temperate climate suggested by the diverse flora found in Ross Sea sediments of Eocene age. (c) 2005 Elsevier B.V. All rights reserved.</t>
  </si>
  <si>
    <t>Victoria Univ Wellington, Sch Earth Sci, Wellington, New Zealand; Inst Geol &amp; Nucl Sci, Lower Hutt, New Zealand; Victoria Univ Wellington, Antarctic Res Ctr, Wellington, New Zealand</t>
  </si>
  <si>
    <t>Victoria University Wellington; GNS Science - New Zealand; Victoria University Wellington</t>
  </si>
  <si>
    <t>Victoria Univ Wellington, Sch Earth Sci, POB 600, Wellington, New Zealand.</t>
  </si>
  <si>
    <t>joseph_prebble@URSCorp.com</t>
  </si>
  <si>
    <t>Raine, James I/D-5124-2009; Hannah, Michael/H-1083-2015</t>
  </si>
  <si>
    <t>Raine, James Ian/0000-0001-5294-2102; Hannah, Michael/0000-0002-2275-0086; Prebble, Joseph/0000-0002-7268-4187</t>
  </si>
  <si>
    <t>10.1016/j.palaeo.2005.07.025</t>
  </si>
  <si>
    <t>WOS:000235849900004</t>
  </si>
  <si>
    <t>Prebble, JG; Hannah, MJ; Barrett, PJ</t>
  </si>
  <si>
    <t>Changing Oligocene climate recorded by palynomorphs from two glacio-eustatic sedimentary cycles, Cape Roberts Project, Victoria Land Basin, Antarctica</t>
  </si>
  <si>
    <t>Antarctica; Oligocene; palynomorphs; marine environment; paleoenvironment; marine palynomorphs</t>
  </si>
  <si>
    <t>DINOFLAGELLATE CYSTS; SEA; CHRONOLOGY; EOCENE</t>
  </si>
  <si>
    <t>Two marine palynomorph assemblages recovered from two glacio-eustatic sedimentary cycles from the Cape Roberts Project (CRP), which recovered over 1500 m of Oligocene and Miocene strata from the western margin of the Victoria Land Basin, are investigated. We present results from one cycle dated as early Oligocene and the other dated as late Oligocene. Modest numbers of marine palynomorphs were recovered, with an average abundance of 56 specimens per gram. The assemblages recovered from both cycles are broadly similar, and dominated by acritarchs and the phycoma of prasinophyte algae. These include Leiosphaeridia sp. 2, Leiosphaeridia sp. 3, and the prasinophyte alga, Cymatiosphaera sp. 2. In detail, however, the lower Oligocene assemblage is different from that of the upper Oligocene. The lower Oligocene cycle includes Impagidinium cf. dispertium and Impagidinium cf elegans. Cymatiosphaera sp. 6 and Pyxidinopsis sp. are abundant. The upper Oligocene cycle is characterized by an absence of Cymatiosphaera (?) invaganata, Cymatiosphaera sp. 8, and Pterospemella sp. A. It has very low numbers of Acritarch sp. b, Impagidinium and Pyxidinopsis. It contains Tasmanites sp. and Brigantedinium pynei, and it has higher abundances of Lejeunecysta sp. 1 and Sigmopollis than the lower Oligocene cycle. The environmental interpretations of the CRP core from other workers using sedimentological and paleontological indicators are used to infer environmental conditions that are likely to have influenced the marine palynomorph assemblages. Paleontological and sedimentological analysis suggests that both cycles were deposited in cold conditions, with sea ice and melt water influence, although the upper Oligocene assemblage is inferred to have existed in colder marine conditions, with more prolonged sea ice cover and less associated fresh water input than the assemblage of early Oligocene times. The application of modem analogues for some of the marine palynomorph taxa identified suggest the presence of sea ice, and occasionally lowered salinity in both cycles. This is broadly consistent with the findings of the other paleoenvironmental studies on the CRP cores. (c) 2005 Elsevier B.V. All rights reserved.</t>
  </si>
  <si>
    <t>Victoria Univ Wellington, Sch Earth Sci, Wellington, New Zealand; Victoria Univ Wellington, Antarctic Res Ctr, Wellington, New Zealand</t>
  </si>
  <si>
    <t>Victoria University Wellington; Victoria University Wellington</t>
  </si>
  <si>
    <t>Prebble, JG (corresponding author), Victoria Univ Wellington, Sch Earth Sci, Wellington, New Zealand.</t>
  </si>
  <si>
    <t>Joseph_Prebble@URSCorp.com</t>
  </si>
  <si>
    <t>Hannah, Michael/H-1083-2015</t>
  </si>
  <si>
    <t>Hannah, Michael/0000-0002-2275-0086; Prebble, Joseph/0000-0002-7268-4187</t>
  </si>
  <si>
    <t>10.1016/j.palaeo.2005.07.026</t>
  </si>
  <si>
    <t>WOS:000235849900005</t>
  </si>
  <si>
    <t>Webb, PN; Strong, CP</t>
  </si>
  <si>
    <t>Foraminiferal biostratigraphy and palaeoecology in Upper Oligocene-Lower Miocene glacial marine sequences 9, 10, and 11, CRP-2/2A drill hole, Victoria Land Basin, Antarctica</t>
  </si>
  <si>
    <t>Antarctica; Victoria Land Basin; Oligocene; Miocene; benthic foraminifera; sequence stratigraphy; glacial history</t>
  </si>
  <si>
    <t>ROSS SEA</t>
  </si>
  <si>
    <t>Three Cape Roberts Project drillholes (CRP-1, -2/2A and -3) penetrated, in aggregate, a 1500 m succession of glacial marine Oligocene-Lower Miocene strata on the margins of Victoria Land Basin, the upper 1000+ m of which consists of a stack of more than 50 unconformity-bounded stratigraphic sequences. The benthic foraminiferal biostratigraphy, ecology, and lithofacies relationships of three contiguous sequences (Sequences 9, 10, and 11; 130.27-306.65 mbsf) from CRP-2/2A, were first determined and then tested against Motif,4, a sedimentation model developed for the drillhole succession. These sequences apparently represent relatively complete glacial-deglacial cycles which span an interval of similar to 450 kyr straddling the Oligocene-Miocene boundary (similar to 24 Ma). Sedimentological and paleontological data suggest shoreface-inner shelf to outer shelf basin margin settings with deposition under the influence of near-shore traction currents, subglacial ice contact, ice-rafting, meltwater, and turbidity associated with ice margin advance and retreat, along with sea level variations in the order of 50 m. Stratigraphic distribution data for benthic foraminifera are at an average sampling interval of similar to 1 in (=similar to 1000 to 3000 years), which offers stratigraphic resolution at less than orbital cycle frequencies in all major lithofacies within the three sequences. Taxa recovered represent a restricted immigrant group that repeatedly penetrated the shallow coastal waters during deglacial phases of each cycle and originated in the much more diverse assemblages of West Antarctic Rift System basins. Both eurytopic and stenotopic taxa are recognized. The former occur in all lithofacies and appear tolerant to a wide range of environmental parameters at and near the seafloor. Representative genera include, Trochammina, Cassidulinoides, Fursenkoina, Eponides, Epistominella, Cibicides, Nonionella, Melonis, Pullenia, Elphidium, Ammoelphidiella, and Cribroelphidium. Stenotopic taxa are less common, occur mainly in fine-grained lithofacies, represent maximum oceanicity, and coincide with Maximum retreat of coastal glaciers and sea level highstands. Representative genera include, Quinqueloculina, Pyrgo, Triloculina, Lenticulina, Marginulina, Vaginulinopsis, Nodosaria, Pseudonodosaria, Pyrulinoides, Oolina, Fissurina, Parafissurina, Rosalina, Anomalinoides, and Hanzawaia. Planktic foraminifera are absent. Our foraminiferal data provide strong support for the Motif A model, and allow interpretation of intra-model facies and events. Motif A is an idealized glacial stratigraphic sequence construct derived from analysis of the entire Upper Oligocene-Lower Miocene sequence stack. In this model, Lowstand System Tract (LST) diamictites form the base of the sequence. Diamictites with microfaunas are considered glaciomarine, those Without are more likely ice-proximal or subglacial. Fine-grained sandstone, muddy sandstone, and mudstone of mid-sequence aggradational Transgressive System Tract (TST) and Highstand System Tract (HST) strata reflect high stands of sea level, inshore penetration of open marine waters, and peak recession of ice margins, and normally contain the most diverse and abundant microfaunas (up to 17 spp/sample). Sediments of the overlying Regressive System Tract (RST) display low and upwardly-declining foraminiferal diversity in response to glacier ice advance, sediment progradation across the basin margin, and falling sea level. The time-variable Glacial Surface of Erosion (GSE) or sequence boundary terminates the Regressive System Tract (RST) and demarcates the base of the succeeding stratigraphic sequence. (c) 2005 Elsevier B.V. All rights reserved.</t>
  </si>
  <si>
    <t>Ohio State Univ, Dept Geol Sci, Columbus, OH 43210 USA; Inst Geol &amp; Nucl Sci, Lower Hutt, New Zealand</t>
  </si>
  <si>
    <t>University System of Ohio; Ohio State University; GNS Science - New Zealand</t>
  </si>
  <si>
    <t>Ohio State Univ, Dept Geol Sci, Columbus, OH 43210 USA.</t>
  </si>
  <si>
    <t>webb.3@osu.edu</t>
  </si>
  <si>
    <t>10.1016/j.palaeo.2005.07.036</t>
  </si>
  <si>
    <t>WOS:000235849900006</t>
  </si>
  <si>
    <t>Pekar, SF; DeConto, RM</t>
  </si>
  <si>
    <t>High-resolution ice-volume estimates for the early Miocene: Evidence for a dynamic ice sheet in Antarctica</t>
  </si>
  <si>
    <t>Antarctica; ice-volume; Miocene; sea-level; oxygen isotopes; east Antarctic ice sheet</t>
  </si>
  <si>
    <t>DEEP-WATER CIRCULATION; CONTINENTAL-MARGIN; DRAKE PASSAGE; OLIGOCENE; CALIBRATION; GLACIATION; TERTIARY; GREENLAND; EVOLUTION; SEQUENCES</t>
  </si>
  <si>
    <t>Ice-volume estimates for the early Miocene (23-16 Ma ATS) were determined by applying delta O-18 to sea-level calibrations to high-resolution delta O-18 records from ODP Sites 1090 and 1218. These calibrated records indicate that ice-volume ranged between 50% and 125% of the present day East Antarctic Ice Sheet (EAIS) during most of the early Miocene (23-17 Ma). Maximum ice-volume occurred at each of the early Miocene isotopic events (i.e., Mi-events) concomitant with bottom water temperatures generally between similar to 1 and 2 degrees C. Rapid (&lt;&lt; 1 myr) and high amplitude ice-volume changes also occurred intermittently during this period, with some fluctuations ranging from a fully glaciated East Antarctic continent to a partial collapse of the ice sheet (equivalent to a 50-70% reduction in the EAIS). These large-scale ice-volume changes often occurred at &lt; 100 kyr time scales suggesting an orbitally driven dynamic EAIS existed during the early Miocene. In contrast, the calibrated delta O-18 record from Site 1090 indicates significantly less ice-volume (25-70% of the present-day EAIS) was present between 17 and 16 Ma. These results are supported by numerical climate-ice sheet modeling Studies that show increased orbitally driven ice-volume variability with elevated levels of atmospheric CO2. The distribution of bottom water masses during the Miocene was likely significantly different from today, owing to variability in the production of deep-water near the Antarctic continent (i.e., proto-Antarctic Bottom Water, proto-AABW). Weakening of proto-AABW is suggested to have occurred during the early Miocene especially during glacial minima, resulting ill it becoming more spatially restricted to the Southern Ocean and becoming entrained into a warmer deep-water mass. Increased production of a warmer bottom water mass is also considered to have been important in the lighter isotopic values observed in the Atlantic and Indian Oceans. These changes are Supported by evidence of a large dynamic EAIS based on strata cored oil the Antarctic margin, and require a reevaluation of the view that Antarctic ice-volume was significantly reduced for most of the early Miocene. Previous estimates have been constrained by the lack of deep-water isotopic records proximal to Antarctica, and unduly influenced by the expansion of warmer deep-water into most of the ocean basins at this time. (c) 2005 Elsevier B.V. All rights reserved.</t>
  </si>
  <si>
    <t>CUNY Queens Coll, Sch Earth &amp; Environm Sci, Flushing, NY 11367 USA; Columbia Univ, Lamont Doherty Earth Observ, Palisades, NY 10964 USA; Univ Massachusetts, Dept Geosci, Amherst, MA 01003 USA</t>
  </si>
  <si>
    <t>City University of New York (CUNY) System; Queens College NY (CUNY); Columbia University; University of Massachusetts System; University of Massachusetts Amherst</t>
  </si>
  <si>
    <t>spekar@qcl.qc.edu</t>
  </si>
  <si>
    <t>10.1016/j.palaeo.2005.07.027</t>
  </si>
  <si>
    <t>WOS:000235849900007</t>
  </si>
  <si>
    <t>Villa, G; Persico, D</t>
  </si>
  <si>
    <t>Late Oligocene climatic changes: Evidence from calcareous nannofossils at Kerguelen Plateau Site 748 (Southern ocean)</t>
  </si>
  <si>
    <t>calcareous nannofossils; Oligocene; Palaeoecology; biostratigraphy; Southern Ocean</t>
  </si>
  <si>
    <t>EOCENE-OLIGOCENE; ICE-SHEET; ANTARCTICA; HISTORY; NANNOPLANKTON; CALIBRATION; CHRONOLOGY; GLACIATION</t>
  </si>
  <si>
    <t>Palaeoecological changes in nannofossil assemblages in the Southern Ocean during Oligocene times are examined through high-resolution, quantitative analyses of samples from Ocean Drilling Program (ODP) Site 748 (Kerguelen Plateau). We quantitatively characterized the palaeoecological preference of groups of species and compared their general trends with those determined at Maud Rise (ODP Sites 690 and 689) (Persico, D., Villa, G., 2004. Eocene-Oligocene calcareous nannofossils from Maud Rise and Kerguelen Plateau (Antarctica): palaeoecological and palaeoceanographic implications. Marine Micropaleontology 52, 153-179). We then attempt a correlation between the main assemblage variation and sea-surface temperature (SST) changes in the Southern Ocean at this time. Relatively stable, cool conditions are interpreted to have persisted from earliest to late Oligocene times, when an increase in abundance of temperate-water taxa is recorded, both at Maud Rise and Kerguelen Plateau, before the Mi-1 event. This reveals a climatic event that probably involved both sites, and which is comparable to that indicated by the global oxygen isotope curve ([Miller, K.G., Wright, J.D., Fairbanks, R.G., 1991. Unlocking the Ice House: Oligocene-Miocene oxygen isotopes, eustasy, and margin erosion. Journal of Geophysical Research, 96, 6829-6848; Zachos, J., Pagani, M., Sloan, L., Thomas, E., Billups, K., 2001. Trends, rhythms, and aberrations in global climate 65 Ma to present. Science, 292, 686-693.]). In the uppermost Oligocene at Site 689, the temperate-water taxa index ([temperate/temperate + cool] * 100) increases from 25.2 Ma. Similarly, at Site 748, the temperate-water taxa index indicates an increase in SST in the late Oligocene, from about 26.5 Ma, at the base of Chron C8n.2n, which is offset by about 1 m.y. between the two areas. The reason for this time difference can probably be found in the location of Site 748 with respect to Site 689, and in the palacoceanographic setting, taking into account that Site 748 lies north of a deep water passage that separates Kerguelen Plateau from Antarctica, and north of the present day front of the Antarctic Circumpolar Current. The presence of warm-water taxa, exclusively at Site 748, corroborates this hypothesis. (c) 2005 Published by Elsevier B.V.</t>
  </si>
  <si>
    <t>Univ Parma, Dipartimento Sci Terra, Parco Area Sci 157A, I-43100 Parma, Italy.</t>
  </si>
  <si>
    <t>giuliana.villa@unipr.it</t>
  </si>
  <si>
    <t>Persico, Davide/0000-0001-5194-9724</t>
  </si>
  <si>
    <t>10.1016/j.palaeo.2005.07.028</t>
  </si>
  <si>
    <t>WOS:000235849900008</t>
  </si>
  <si>
    <t>Hannah, MJ</t>
  </si>
  <si>
    <t>The palynology of ODP site 1165, Prydz Bay, East Antarctica: A record of Miocene glacial advance and retreat</t>
  </si>
  <si>
    <t>Prydz Bay; Leg 188; site 1165; palynology; Miocene ice shelf fluctuations</t>
  </si>
  <si>
    <t>ODP Site 1165 recovered around 1000 m of Early to Late Miocene mixed hemi-pelagic sediments from the Wild Drift, offshore Prydz Bay. Samples from between the bottom of the hole and I 10 m below sea floor yielded distinctive palynomorph assemblages, ranging in age from 22.2 Ma at the base to 8 Ma at 110 mbsf. Many assemblages contain large numbers of reworked terrestrial pollen and spores varying in age from Devonian to Early Eocene. In situ palynomorph assemblages are dominated by the acritarch Leiosphaeridia. Other components of the assemblages are dinoflagellate cysts, prasinophyte algae and acanthomorph acritarchs. Comparison with modem Arctic assemblages suggests that the presence of these forms implies significant fresh water input, resulting in complex, stratified water masses unlike the situation in Prydz Bay today. Based on the palynomorph assemblages, which are alternately dominated by glacially derived reworked terrestrial miospores and in situ leiospheres typical of ice edges, the interval between the bottom of the hole and 310 mbsf (22.2-15 Ma) can be divided into three intervals. Samples from the base of each interval are dominated by high percentages of reworked terrestrial miospores and are interpreted as representing a period of time dominated by increased glacial flow down the Lambert Glacier and an expanded Amery Ice Shelf. Samples from the upper part of each interval are characterised by low percentages of reworked terrestrial miospores and generally high percentages of leiospheres. This is thought to represent a period of time of low glacial flow and retreat of the Amery Ice Shelf At the same time an increase in the minor components of the marine palynomorph assemblage is recorded, possibly in response to an overall climatic amelioration onto which the three glacial cycles are superimposed. Overlaying these glacial cycles, between 310 and 99.1 mbsf (15-8 Ma), the assemblages are completely dominated by reworked material, including an Eocene dinoflagellate assemblage previously recoded on the continental shelf in ODP drill-hole 1166. Leiospheres or other in situ marine palynomorphs are either absent or only make up a very small percentage of the assemblage. This is interpreted as representing an interval where the climatic amelioration recorded during the underlying three cycles has been sharply reversed and the Amery Ice Shelf has expanded to the point where it is grounded across the continental shelf, eroding the Eocene material present there. The age of this climatic reversal (15 Ma) coincides with the well-known shift in the oxygen isotope curve thought to be associated with the development of permanent ice sheets on Antarctica. (c) 2005 Elsevier B.V. All rights reserved.</t>
  </si>
  <si>
    <t>Victoria Univ Wellington, Antarctic Res Ctr, Sch Earth Sci, Wellington, New Zealand</t>
  </si>
  <si>
    <t>Hannah, MJ (corresponding author), Victoria Univ Wellington, Antarctic Res Ctr, Sch Earth Sci, POB 600, Wellington, New Zealand.</t>
  </si>
  <si>
    <t>Michael.Hannah@vuw.ac.nz</t>
  </si>
  <si>
    <t>Hannah, Michael/0000-0002-2275-0086</t>
  </si>
  <si>
    <t>10.1016/j.palaeo.2005.07.029</t>
  </si>
  <si>
    <t>WOS:000235849900009</t>
  </si>
  <si>
    <t>Thorn, VC; DeConto, R</t>
  </si>
  <si>
    <t>Antarctic climate at the Eocene/Oligocene boundary - climate model sensitivity to high latitude vegetation type and comparisons with the palaeobotanical record</t>
  </si>
  <si>
    <t>global climate models; palaeoclimate; Antarctica; Cenozoic; palaeobotany; greenhouse-icehouse transition</t>
  </si>
  <si>
    <t>ICE-SHEET; BIOSPHERE MODEL; TRANSANTARCTIC MOUNTAINS; LIVINGSTON ISLAND; BOREAL FOREST; SIRIUS GROUP; GLACIATION; OSCILLATIONS; ALBEDO; WOODS</t>
  </si>
  <si>
    <t>Simulated climate for the Antarctic continent using the GENESIS (Version 2.1) Global Climate Model with 34 Ma boundary conditions is shown to be highly sensitive to polar vegetation type. Six experiments were run using different levels of atmospheric CO2, orbital configurations, ice sheet geometries and vegetation types to assess model sensitivity to Antarctica being covered with either a needle leaf evergreen forest or tundra. Simulations using 2X pre-industrial levels of CO2 (combined mean annual temperature (MAT) - 19 degrees C) are about 7 T cooler than minimum estimates from the Antarctic Cenozoic plant record (MAT - 12 to 15 degrees C). However, simulations using 3 X CO2 (MAT - 7 degrees C) are in good agreement with our empirical estimates of mean annual temperature. With ice sheets and orbits set up to represent early Oligocene interglacial conditions, the tundra climate is significantly cooler than the evergreen forest climate, with local, austral summer averages up to 6 degrees C cooler in non-glaciated areas and continental averages similar to 2.5 degrees C cooler. In the model this is mainly due to higher albedo and decreases in net radiation and sensible and latent heat flux, especially during spring and summer, Feedbacks between coastal and continental cooling, marginal sea surface temperatures and sea ice also appear to be significant. A review of the late Palaeocene to earliest Miocene plant fossil record in the Antarctic Peninsula and Ross Sea regions shows that the vegetation was in transition similar to 34 Ma, from a relatively diverse, mainly evergreen forest to a tundra vegetation. The modelled sensitivity of continental temperatures to a change from forest to tundra suggests vegetation-climate feedbacks during the Eocene-Oligocene transition played a significant role in the initial rapid,glaciation of the continent. (c) 2005 Elsevier B.V. All rights reserved.</t>
  </si>
  <si>
    <t>Victoria Univ Wellington, Antarctic Res Ctr, Wellington, New Zealand; Univ Massachusetts, Dept Geosci, Amherst, MA 01003 USA</t>
  </si>
  <si>
    <t>Victoria University Wellington; University of Massachusetts System; University of Massachusetts Amherst</t>
  </si>
  <si>
    <t>Univ Leeds, Sch Earth &amp; Environm, Leeds LS2 9JT, W Yorkshire, England.</t>
  </si>
  <si>
    <t>v.thorn@earth.leeds.ac.uk; deconto@geo.umass.edu</t>
  </si>
  <si>
    <t>Bowman, Vanessa/0000-0002-4887-3949</t>
  </si>
  <si>
    <t>10.1016/j.palaeo.2005.07.032</t>
  </si>
  <si>
    <t>WOS:000235849900010</t>
  </si>
  <si>
    <t>Brown, B; Gaina, C; Müller, RD</t>
  </si>
  <si>
    <t>Circum-Antarctic palaeobathymetry:: Illustrated examples from Cenozoic to recent times</t>
  </si>
  <si>
    <t>Antarctica; plate reconstructions; gateways; seafloor age; palaeo-depth</t>
  </si>
  <si>
    <t>HEAT-TRANSPORT; DRAKE PASSAGE; OCEAN-BASIN; ANOMALIES; EVOLUTION; SEA; FLOOR; EAST; GLACIATION; ISOCHRONS</t>
  </si>
  <si>
    <t>We use a revised set of seafloor spreading isochrons and updated plate tectonic reconstructions to produce palaeo-age and basement depth grids for the Southern Ocean. The palaeo-depth maps illustrate the evolution of the ocean basins (widening and deepening) and oceanic gateway development Surrounding Antarctica. We provide examples of palaeo-basement depth profiles at selected times between 45 Ma and the present across the Tasman Gateway and Drake Passage. The digital grids provide improved boundary conditions for palaeoceanographic circulation models as well as for backtracking sediments from ODP drilling. (c) 2005 Elsevier B.V. All rights reserved.</t>
  </si>
  <si>
    <t>Univ Sydney, Sch Geosci, Sydney, NSW 2006, Australia</t>
  </si>
  <si>
    <t>Univ Sydney, Sch Geosci, Sydney, NSW 2006, Australia.</t>
  </si>
  <si>
    <t>belinda@geosci.usyd.edu.au; Carmen.Gaina@ngu.no; dietmar@geosci.usyd.edu.au</t>
  </si>
  <si>
    <t>Gaina, Carmen/I-5213-2015; Müller, Dietmar/L-1200-2019</t>
  </si>
  <si>
    <t>Gaina, Carmen/0000-0001-5533-8103; Müller, Dietmar/0000-0002-3334-5764</t>
  </si>
  <si>
    <t>10.1016/j.palaeo.2005.07.033</t>
  </si>
  <si>
    <t>WOS:000235849900011</t>
  </si>
  <si>
    <t>Hepp, DA; Mörz, T; Grützner, J</t>
  </si>
  <si>
    <t>Pliocene glacial cyclicity in a deep-sea sediment drift (Antarctic Peninsula Pacific Margin)</t>
  </si>
  <si>
    <t>Antarctic Peninsula; deep-sea sedimentation; drift; early Pliocene; Leg 178; ocean drilling program; paleoclimatology; sedimentary processes; ODP site 1095</t>
  </si>
  <si>
    <t>CONTINENTAL RISE WEST; ICE-SHEET; BIOGENIC SILICA; SOUTHERN-OCEAN; FLOOR EVIDENCE; DEPOSITION; STABILITY; NEOGENE; HISTORY; RECORD</t>
  </si>
  <si>
    <t>Giant deep-sea sediment drifts are widespread features along the continental rise of the West Antarctic Peninsula, representing the most proximal continuous sedimentary recorders for West Antarctic ice events and glacial-interglacial cyclicity. Sediment physical, geochemical records and X-ray images derived from ODP Leg 178 Site 1095 (Sediment Drift 7) show characteristics in glacial-interglacial cyclicity and associated sedimentary processes during early Pliocene. Two boundary types dividing half-cycles have been recognized: (1) interglacial-to-glacial transitions that are distinct and characterized by a sharp boundary and abrupt change in lithology, (2) glacial-to-interglacial transitions that are diffuse and characterized by a gradual decline of sediment physical and geochemical values with a marked reduction in sedimentation rates. The boundaries defined in conjunction with magneto- and biostratigraphic tie-points form the framework for the calculation of relative sedimentation and accumulation rates used for reconstructing early Pliocene paleoproductivity and terrigenous flux to the drift. Warm early Pliocene climate conditions for West Antarctic Peninsula region are indicated by open ocean conditions in glacials, short residence times of the grounded ice sheet at the shelf edge with sporadic fluctuations as well as periodic collapses of the ice sheet front. We propose a 5-phase drift sedimentation model for the early Pliocene and Postulate a highly dynamic ice sheet, likely reduced in thickness, resulting ill oscillations which lie closer to the shelf edge than Was the case during the late Quaternary. (c) 2005 Elsevier B.V. All rights reserved.</t>
  </si>
  <si>
    <t>Univ Bremen, Dept Geosci, D-28334 Bremen, Germany; Univ Bremen, Res Ctr Ocean Margins, D-28334 Bremen, Germany</t>
  </si>
  <si>
    <t>University of Bremen; University of Bremen</t>
  </si>
  <si>
    <t>Univ Bremen, Dept Geosci, POB 330440, D-28334 Bremen, Germany.</t>
  </si>
  <si>
    <t>dhepp@uni-bremen.de</t>
  </si>
  <si>
    <t>Hepp, Daniel A./P-6872-2017</t>
  </si>
  <si>
    <t>Hepp, Daniel A./0000-0002-6895-8659; Gruetzner, Jens/0000-0001-5445-2393</t>
  </si>
  <si>
    <t>10.1016/j.palaeo.2005.07.030</t>
  </si>
  <si>
    <t>WOS:000235849900013</t>
  </si>
  <si>
    <t>Smellie, JL; McIntosh, WC; Esser, R</t>
  </si>
  <si>
    <t>Eruptive environment of volcanism on Brabant Island: Evidence for thin wet-based ice in northern Antarctic Peninsula during the Late Quaternary</t>
  </si>
  <si>
    <t>volcanism; glaciovolcanic; ice sheet; Pleistocene; global change; Antarctic Peninsula</t>
  </si>
  <si>
    <t>KING-GEORGE-ISLAND; SOUTH SHETLAND ISLANDS; GLACIAL HISTORY; CLIMATE-CHANGE; RETREAT; LAVA; SHELF; STRATIGRAPHY; CRYOSPHERE; OLIGOCENE</t>
  </si>
  <si>
    <t>Terrestrial volcanism occurred extensively on Brabant Island, northern Antarctic Peninsula, during the Late Quaternary (&lt; 200 ka; probably entirely Late Pleistocene). Two compositionally distinct volcanic sequences formed three large shield volcanoes. The volcanoes were constructed in association with a &lt; 150 m-thick, non-ice stream glacial cover, although it was likely to be thicker (few hundred metres) where it extended onto the continental shelf. The glacial cover on the volcanoes was probably mainly permeable snow, firn and fractured (crevassed) ice. It was wet-based, erosive and sediment-forming, indicating either a temperate or, perhaps more likely, sub-polar thermal regime, and would have been more extensive than that present today. Such a thin ice sheet Would have had a low surface gradient during periods of extension across the continental shelf. This is the first direct evidence for the thickness and thermal regime of the terrestrial ice sheet in the Antarctic Peninsula during any Quaternary period prior to the last glacial maximum. (c) 2005 Elsevier B.V. All rights reserved.</t>
  </si>
  <si>
    <t>British Antarctic Survey, Cambridge CB3 0ET, England; New Mexico Inst Min &amp; Technol, New Mexico Geochronol Res Ctr, Socorro, NM 87801 USA</t>
  </si>
  <si>
    <t>UK Research &amp; Innovation (UKRI); Natural Environment Research Council (NERC); NERC British Antarctic Survey; New Mexico Institute of Mining Technology</t>
  </si>
  <si>
    <t>JLSM@bas.ac.uk</t>
  </si>
  <si>
    <t>10.1016/j.palaeo.2005.07.035</t>
  </si>
  <si>
    <t>WOS:000235849900016</t>
  </si>
  <si>
    <t>Dameris, M; Matthes, S; Deckert, R; Grewe, V; Ponater, M</t>
  </si>
  <si>
    <t>Solar cycle effect delays onset of ozone recovery</t>
  </si>
  <si>
    <t>QUASI-BIENNIAL OSCILLATION; CHEMISTRY-CLIMATE MODEL; STRATOSPHERIC OZONE; MIDDLE ATMOSPHERE; VARIABILITY; TRENDS; TEMPERATURE; SIMULATION; HALOGEN; DECLINE</t>
  </si>
  <si>
    <t>Short- and long-term changes of total ozone are investigated by means of an ensemble simulation with the coupled chemistry-climate model E39/C for the period 1960 to 2020. Past total ozone changes are well simulated on both, long (decadal) and short ( monthly) timescales. Even the 2002 Antarctic ozone anomaly appears in the ensemble. The model results indicate that the 11-year solar cycle will delay the onset of a sustained ozone recovery. The lowest global mean total ozone values occur between 2005 and 2010, although stratospheric chlorine loading is assumed to decline after 2000. E39/C results exhibit a significant increase of total ozone after the beginning of the next decade, following the upcoming solar minimum. The observed ozone increase in the second half of the 1990s is reproduced by E39/C and is identified as a combined post-Pinatubo and solar cycle effect rather than the beginning of a sustainable ozone recovery.</t>
  </si>
  <si>
    <t>DLR Overapprehens, Inst Phys Atmosphare, Wessling, Germany</t>
  </si>
  <si>
    <t>DLR Oberpfaffenhofen, Inst Phys Atmosphare, D-82234 Wessling, Germany.</t>
  </si>
  <si>
    <t>martin.dameris@dlr.de</t>
  </si>
  <si>
    <t>Ponater, Michael/AAQ-4907-2020; Grewe, Volker/JCE-0830-2023; Grewe, Volker/A-6147-2011</t>
  </si>
  <si>
    <t>Grewe, Volker/0000-0002-8012-6783; Dameris, Martin/0000-0001-6700-0628; Ponater, Michael/0000-0002-9771-4733</t>
  </si>
  <si>
    <t>FEB 8</t>
  </si>
  <si>
    <t>L03806</t>
  </si>
  <si>
    <t>10.1029/2005GL024741</t>
  </si>
  <si>
    <t>012TD</t>
  </si>
  <si>
    <t>WOS:000235361700004</t>
  </si>
  <si>
    <t>Price, PB</t>
  </si>
  <si>
    <t>Attenuation of acoustic waves in glacial ice and salt domes</t>
  </si>
  <si>
    <t>SOUTH-POLE; DEEP ICE; INTERNAL-FRICTION; SINGLE-CRYSTALS; ANTARCTIC ICE; ROCK-SALT; ABSORPTION; DEPENDENCE; NEUTRINOS; EMISSION</t>
  </si>
  <si>
    <t>[1] Two classes of natural solid media, glacial ice and salt domes, are under consideration as media in which to deploy instruments for detection of neutrinos with energy &gt;= 10(18) eV. Though insensitive to 10(11) to 10(16) eV neutrinos for which observatories ( e. g., AMANDA and IceCube) that utilize optical Cherenkov radiation detectors are designed, radio and acoustic methods are suited for searches for the very low fluxes of neutrinos with energies &gt; 10(17) eV. This is because owing to the very long attenuation lengths of radio and acoustic waves produced by interactions of such neutrinos in ice and salt, detection modules can be spaced at horizontal distances similar to 1 km, in contrast to the 0.12 km distances between strings of IceCube modules. In this paper, I calculate the absorption and scattering coefficients as a function of frequency and grain size for acoustic waves in glacial ice and salt domes and show that experimental measurements on laboratory samples and in glacial ice and salt domes are consistent with theory. For South Pole ice with grain size similar to 0.2 cm at depths &lt;= 600 m, scattering lengths are calculated to be 2000 and 25 km at frequencies 10 and 30 kHz, respectively; for grain size similar to 0.4 cm at 1500 m ( the maximum depth to be instrumented acoustically), scattering lengths are calculated to be 250 and 3 km. These are within the range of frequencies where most of the energy of the acoustic wave is concentrated. The absorption length is calculated to be 9 +/- 3 km at all frequencies above similar to 100 Hz. For NaCl ( rock salt) with grain size 0.75 cm, scattering lengths are calculated to be 120 and 1.4 km at 10 and 30 kHz, and absorption lengths are calculated to be 3 x 10(4) and 3300 km at 10 and 30 kHz. Existing measurements are consistent with theory. For ice, absorption is the limiting factor; for salt, scattering is the limiting factor. Both media would be suitable for detection of acoustic waves from ultrahigh-energy neutrino interactions.</t>
  </si>
  <si>
    <t>Univ Calif Berkeley, Dept Phys, Berkeley, CA 94720 USA</t>
  </si>
  <si>
    <t>University of California System; University of California Berkeley</t>
  </si>
  <si>
    <t>Univ Calif Berkeley, Dept Phys, Berkeley, CA 94720 USA.</t>
  </si>
  <si>
    <t>bprice@berkeley.edu</t>
  </si>
  <si>
    <t>B02201</t>
  </si>
  <si>
    <t>10.1029/2005JB003903</t>
  </si>
  <si>
    <t>012TX</t>
  </si>
  <si>
    <t>WOS:000235364000004</t>
  </si>
  <si>
    <t>Tarling, GA; Johnson, ML</t>
  </si>
  <si>
    <t>Satiation gives krill that sinking feeling</t>
  </si>
  <si>
    <t>VERTICAL MIGRATION; SOUTH GEORGIA; VARIABILITY; COPEPOD; CARBON</t>
  </si>
  <si>
    <t>British Antarctic Survey, NERC, Cambridge CB3 0ET, England; Univ Hull, Scarborough Ctr Coastal Studies, Scarborough YO11 3AZ, England</t>
  </si>
  <si>
    <t>UK Research &amp; Innovation (UKRI); Natural Environment Research Council (NERC); NERC British Antarctic Survey; University of Hull</t>
  </si>
  <si>
    <t>Johnson, Magnus/0000-0002-8163-4026</t>
  </si>
  <si>
    <t>50 HAMPSHIRE ST, FLOOR 5, CAMBRIDGE, MA 02139 USA</t>
  </si>
  <si>
    <t>1879-0445</t>
  </si>
  <si>
    <t>FEB 7</t>
  </si>
  <si>
    <t>R83</t>
  </si>
  <si>
    <t>R84</t>
  </si>
  <si>
    <t>10.1016/j.cub.2006.01.044</t>
  </si>
  <si>
    <t>012OB</t>
  </si>
  <si>
    <t>WOS:000235347400012</t>
  </si>
  <si>
    <t>Huang, YSM; McClintock, JB; Amsler, CD; Peters, KJ; Baker, BJ</t>
  </si>
  <si>
    <t>Feeding rates of common Antarctic gammarid amphipods on ecologically important sympatric macroalgae</t>
  </si>
  <si>
    <t>amphipoda; Antarctica; Gondogeneia antarctica; herbivory; macroalgae; Prostebbingia gracilis</t>
  </si>
  <si>
    <t>FISH NOTOTHENIA-CORIICEPS; MARINE MACROALGAE; FOOD CHOICE; BIOMASS; HERBIVORE; EPIPHYTES; DEFENSES; SEAGRASS; ECOLOGY; FITNESS</t>
  </si>
  <si>
    <t>Single species feeding trials employing both fresh algal tissues and alginate food pellets containing dried finely ground algal tissues were conducted to examine the relative palatability of sympatric Antarctic macroalgae (three brown and five red macroalgal species) to three common herbivorous gammarid amphipods (Prostebbingia gracilis Chevreux, Gondogeneia antarctica (Chevreux) Thurston, and Metaleptamphopus pectinatus Chevreux). In fresh algal tissue bioassays, both the amphipods R gracilis and G. antarctica consumed significantly greater amounts of the red alga Palmaria decipiens over all other seven species of macroalgae. The amphipod M pectinatus failed to consume measurable quantities of fresh thalli of any macroalgae and therefore is likely to feed on other resources. In food pellet bioassays, the consumption rates of amphipods fed with eight different species of macroalgae were compared with consumption rates on a highly palatable control green alga. Alginate pellets containing finely ground tissues of R decipiens were consistently the most palatable of any of the macroalgae to R gracilis and G. antarctica, while pellets containing the brown algae Desmarestia menziesii, D. anceps and the red alga Plocamium cartilagineum were not consumed by any of the three amphipod species. Regression analysis indicated that feeding rates of the amphipods P gracilis and G. antarctica on alginate food pellets were not significantly correlated with known species-specific parameters of macroalgal nutritional quality (%N, %C, C:N ratio, soluble protein, soluble carbohydrate, and lipid). Therefore, differences in amphipod macroalgal palatability are most likely related to other factors including physical and/or chemical deterrents. (c) 2005 Elsevier B.V. All rights reserved.</t>
  </si>
  <si>
    <t>yusheng@uab.edu</t>
  </si>
  <si>
    <t>Baker, Brett/P-1783-2014</t>
  </si>
  <si>
    <t>10.1016/j.jembe.2005.08.013</t>
  </si>
  <si>
    <t>013GJ</t>
  </si>
  <si>
    <t>WOS:000235397500006</t>
  </si>
  <si>
    <t>Nunez, M; Davidson, AT; Michael, K</t>
  </si>
  <si>
    <t>Modelled effects of ambient UV radiation on a natural Antarctic marine microbial community</t>
  </si>
  <si>
    <t>Antarctic; model; UV; ozone; marine microbes</t>
  </si>
  <si>
    <t>ULTRAVIOLET-B RADIATION; OZONE DEPLETION; TROPHIC LEVELS; PHYTOPLANKTON; CARBON; EXPOSURE; GROWTH; VOLUME; PHOTOSYNTHESIS; ENHANCEMENT</t>
  </si>
  <si>
    <t>Ozone depletion over Antarctica has enhanced ultraviolet-B radiation (UVBR, 280 to 320 nm wavelength). We measured the effect of ambient solar UV radiation on the biomass and species composition of phytoplankton, protozoa, bacteria and dissolved organic carbon (DOC) in natural microbial assemblages from Antarctic coastal waters. Results were modelled to determine the features of the irradiance responsible for changes in the biomass of these microbial components and responses of individual phytoplankton taxa. Model results showed that changes in phytoplankton biomass were primarily due to dose rate, indicating that their UV-induced mortality resulted from the equilibrium between damage and repair. However, there was considerable variability between individual species in their response to dose and dose rate. Changes in protozoan biomass were mainly due to dose and were likely due to community-level, trophodynamic interactions. UV radiation did not measurably affect bacterial biomass, but resulted in increasing concentrations of DOC. We found a threshold of erythemal irradiance of 28 mW m(-2), approximating peak noon-time irradiance at 3.6 m depth near the summer solstice in Antarctic coastal waters, below which no change in the community structure was observed, but above which phytoplankton mortality and protozoan biomass increased. Our results indicate that enhanced UVB radiation in Antarctic waters increases phytoplankton mortality and causes changes in the structure, function and composition of the microbial community that are likely to return more photoassimilated carbon to the atmosphere.</t>
  </si>
  <si>
    <t>Univ Tasmania, Dept Geog &amp; Environm Sci, Hobart, Tas, Australia; Australian Antarctic Div, Dept Environm &amp; Heritage, Kingston, Tas, Australia; Antarctic Climate &amp; Ecosyst Cooperat Res Ctr, Kingston, Tas, Australia; Univ Tasmania, Inst Antarctic &amp; So Ocean Studies, Hobart, Tas 7001, Australia</t>
  </si>
  <si>
    <t>University of Tasmania; Australian Antarctic Division; Antarctic Climate &amp; Ecosystems Cooperative Research Centre (ACE CRC); University of Tasmania</t>
  </si>
  <si>
    <t>Univ Tasmania, Dept Geog &amp; Environm Sci, GPO Box 252-77, Hobart, Tas, Australia.</t>
  </si>
  <si>
    <t>nunez@utas.edu.au</t>
  </si>
  <si>
    <t>FEB 6</t>
  </si>
  <si>
    <t>10.3354/ame042075</t>
  </si>
  <si>
    <t>017GQ</t>
  </si>
  <si>
    <t>WOS:000235682500008</t>
  </si>
  <si>
    <t>Barnes, PRF; Wolff, EW; Mulvaney, R</t>
  </si>
  <si>
    <t>A 44 kyr paleoroughness record of the Antarctic surface</t>
  </si>
  <si>
    <t>GREENLAND ICE-SHEET; DOME-C; SNOW ACCUMULATION; EAST ANTARCTICA; POLAR ICE; CORE; VARIABILITY; CLIMATE; STRATIGRAPHY; MODEL</t>
  </si>
  <si>
    <t>[ 1] Two 788 m conductivity records from ice cores drilled at Dome C, Antarctica, provide an unprecedented opportunity to examine the past roughness of the Antarctic surface. By measuring the distribution of depth differences between synchronous events in the cores, the surface height distribution can be estimated during time intervals in the past. For the first time we publish a record of this type and consider its paleoclimatic implications. The paleoroughness, originating from sastrugi and dunes on the ice sheet surface, is hypothesized to be related to the wind speed, temperature, and accumulation rate during the period of preservation. The roughness record indicates only a slight decrease in the preserved surface roughness from the last glacial period (0.031 m root mean square (r. m. s.) of surface deviation) to the present (0.029 m r. m. s.). This result is surprising given the large change in temperature and accumulation rate that occurred during the last climatic transition. However, it could be consistent with modeling results suggesting low wind speeds on the East Antarctic Plateau during the last ice age if the possible influences of the accumulation and temperature changes are ignored. Additionally, the reliability of the Dome C ice core record is assessed, and the probability of short-term events being missing from the profile is determined. These results are of particular interest when constraining the proportion of events that may be synchronously matched with other ice cores. The principles and results present here allow inferences about the natural variation in ice core records generally.</t>
  </si>
  <si>
    <t>Univ Florence, Dept Chem &amp; Analyt Chem, Sesto Fiorentino, Italy; British Antarctic Survey, Cambridge CB3 0ET, England; Univ New S Wales, Sch Mat Sci &amp; Engn, Sydney, NSW, Australia</t>
  </si>
  <si>
    <t>University of Florence; UK Research &amp; Innovation (UKRI); Natural Environment Research Council (NERC); NERC British Antarctic Survey; University of New South Wales Sydney</t>
  </si>
  <si>
    <t>CSIRO Ind Phys, Bradfield Rd, Sydney, NSW 2070, Australia.</t>
  </si>
  <si>
    <t>piers.barnes@csiro.au</t>
  </si>
  <si>
    <t>Wolff, Eric W/D-7925-2014; Mulvaney, Robert/K-3929-2012; Barnes, Piers/F-1558-2010</t>
  </si>
  <si>
    <t>Wolff, Eric W/0000-0002-5914-8531; Mulvaney, Robert/0000-0002-5372-8148; Barnes, Piers/0000-0002-7537-8759</t>
  </si>
  <si>
    <t>FEB 3</t>
  </si>
  <si>
    <t>D03102</t>
  </si>
  <si>
    <t>10.1029/2005JD006349</t>
  </si>
  <si>
    <t>010BF</t>
  </si>
  <si>
    <t>WOS:000235157700001</t>
  </si>
  <si>
    <t>Gaspari, V; Barbante, C; Cozzi, G; Cescon, P; Boutron, CF; Gabrielli, P; Capodaglio, G; Ferrari, C; Petit, JR; Delmonte, B</t>
  </si>
  <si>
    <t>Atmospheric iron fluxes over the last deglaciation: Climatic implications</t>
  </si>
  <si>
    <t>RELEASE EXPERIMENT SOIREE; SOUTHERN-OCEAN; ICE CORE; MASS-SPECTROMETRY; GLACIAL PERIODS; ANTARCTIC SNOW; HEAVY-METALS; DUST; CO2; EPICA</t>
  </si>
  <si>
    <t>A decrease in the micronutrient iron supply to the Southern Ocean is widely believed to be involved in the atmospheric CO2 increase during the last deglaciation. Here we report the first record of atmospheric iron fluxes as determined in 166 samples of the Dome C ice core and covering the last glacial-interglacial transition (22-9 kyr B. P.). It reveals a decrease in fallout flux from 24x10(-2) mg Fe m(-2) yr(-1) during the Last Glacial Maximum to 0.7x10(-2) mg Fe m(-2) yr(-1) at the onset of the Holocene. The acid leachable fraction of iron determined in our samples was the 60% of the total iron mass in glacial samples, about twice the value found for Holocene samples. This emerging difference in iron solubility over different climatic stages provides a new insight for evaluating the iron hypothesis over glacial/interglacial periods.</t>
  </si>
  <si>
    <t>Univ Venice, Dept Environm Sci, I-30123 Venice, Italy; Univ Venice, Inst Dynam Environm Proc, CNR, I-30123 Venice, Italy; CNRS, Lab Glaciol &amp; Geophys Environm, F-38402 St Martin Dheres, France; Univ Grenoble 1, Unite Format &amp; Rech Phys, Inst Univ France, Grenoble, France; Univ Grenoble 1, Polytech Grenoble, Inst Univ France, Grenoble, France; Univ Milan Bicocca, Dipartimento Sci Ambiente &amp; Terr, I-20126 Milan, Italy</t>
  </si>
  <si>
    <t>Universita Ca Foscari Venezia; Consiglio Nazionale delle Ricerche (CNR); Istituto per la Dinamica dei Processi Ambientali (IDPA-CNR); Universita Ca Foscari Venezia; Centre National de la Recherche Scientifique (CNRS); Communaute Universite Grenoble Alpes; Universite Grenoble Alpes (UGA); Institut Universitaire de France; Communaute Universite Grenoble Alpes; Universite Grenoble Alpes (UGA); Institut National Polytechnique de Grenoble; Institut Universitaire de France; University of Milano-Bicocca</t>
  </si>
  <si>
    <t>Univ Venice, Dept Environm Sci, I-30123 Venice, Italy.</t>
  </si>
  <si>
    <t>Barbante, Carlo/B-3195-2011; Capodaglio, Gabriele/D-5295-2014; Delmonte, Barbara/L-2555-2015; Cozzi, Giulio/R-4554-2019; Cozzi, Giulio/F-6473-2010</t>
  </si>
  <si>
    <t>Capodaglio, Gabriele/0000-0002-3689-4865; Delmonte, Barbara/0000-0002-9074-2061; Cozzi, Giulio/0000-0001-8796-4176; Cescon, Paolo/0000-0003-1836-6759; Barbante, Carlo/0000-0003-4177-2288</t>
  </si>
  <si>
    <t>FEB 2</t>
  </si>
  <si>
    <t>L03704</t>
  </si>
  <si>
    <t>10.1029/2005GL024352</t>
  </si>
  <si>
    <t>010AW</t>
  </si>
  <si>
    <t>WOS:000235156600002</t>
  </si>
  <si>
    <t>Williams, A; Bacon, S; Cunningham, S</t>
  </si>
  <si>
    <t>Variability of the Lower Circumpolar Deep Water in drake passage 1926-2004</t>
  </si>
  <si>
    <t>HYDROGRAPHIC DATA; DECADAL CHANGES; CLIMATE-CHANGE; OCEAN; TRANSPORT; SECTION; MASSES; WOCE</t>
  </si>
  <si>
    <t>Lower Circumpolar Deep Water (LCDW) is an important component of the global overturning circulation as it upwells south of the Antarctic Circumpolar Current (ACC) renewing the ocean interior. The LCDW also aids the transport of water properties between the major ocean basins. The property variability of the LCDW Salinity Maximum layer was examined using 37 meridional sections across Drake Passage between 1926-2004. Within the limits of experimental error and high frequency variability, the core properties of this layer have remained constant between 1926-2004. A comparison of modern sections and the 1932 Discovery II cruise indicates that this observation may be true for LCDW throughout the Southern Ocean. The significance of this result in terms of the observations of decadal changes in the Southern Ocean Intermediate and Mode waters is that these changes are most likely due to contemporary atmospheric forcing and not due to variations in the source water properties.</t>
  </si>
  <si>
    <t>Univ Southampton, Natl Oceanog Ctr, Southampton SO14 3ZH, Hants, England</t>
  </si>
  <si>
    <t>Univ Southampton, Natl Oceanog Ctr, Waterfront Campus,European Way, Southampton SO14 3ZH, Hants, England.</t>
  </si>
  <si>
    <t>apw3@noc.soton.ac.uk</t>
  </si>
  <si>
    <t>Bacon, Sheldon/B-1519-2013</t>
  </si>
  <si>
    <t>Bacon, Sheldon/0000-0002-2471-9373</t>
  </si>
  <si>
    <t>Natural Environment Research Council [soc010001] Funding Source: researchfish; NERC [soc010001] Funding Source: UKRI</t>
  </si>
  <si>
    <t>L03603</t>
  </si>
  <si>
    <t>10.1029/2005GL024226</t>
  </si>
  <si>
    <t>WOS:000235156600001</t>
  </si>
  <si>
    <t>Vincke, S; de Vijver, BV; Gremmen, N; Eyens, L</t>
  </si>
  <si>
    <t>The moss dwelling testacean fauna of the stromness bay (South Georgia)</t>
  </si>
  <si>
    <t>ACTA PROTOZOOLOGICA</t>
  </si>
  <si>
    <t>aquatic mosses; assemblages; biogeography; Ile de la Possession; South Georgia; sub-Antarctica; terrestrial mosses; testate amoebae</t>
  </si>
  <si>
    <t>TESTATE AMEBAS FAUNA; LA POSSESSION; SUPPLEMENT; RHIZOPODA; MONOGRAPH; PROTOZOA; CROZET; AREA; ILE</t>
  </si>
  <si>
    <t>The study of 22 aquatic and 36 terrestrial moss samples of the Stromness Bay (South Georgia, sub-Antarctica) revealed 71 testate amoebae taxa (Protists) belonging to 21 genera. Twenty-eight taxa were reported for the first time, which resulted in a total of 87 testate amoebae taxa observed from South Georgia. A cluster and a correspondence analysis pointed out a clear difference between the aquatic and the terrestrial moss samples. Four assemblages of characteristic testate amoebae species with specific ecological preferences were distinguished. The moss dwelling testacean fauna of South Georgia was compared to other sub-Antarctic islands, such as Marion Island, (I) over cap les Kerguelen and (I) over cap le de la Possession.</t>
  </si>
  <si>
    <t>Univ Instelling Antwerp, Dept Biol, Unit Polar Ecol Limnol &amp; Paleobiol, B-2610 Antwerp, Belgium; NIOO, CEMO, Yerseke, Netherlands; Data Analyse Ecol, Diever, Netherlands</t>
  </si>
  <si>
    <t>University of Antwerp; Royal Netherlands Academy of Arts &amp; Sciences; Netherlands Institute of Ecology (NIOO-KNAW)</t>
  </si>
  <si>
    <t>Vincke, S (corresponding author), Univ Instelling Antwerp, Dept Biol, Unit Polar Ecol Limnol &amp; Paleobiol, Campus Drie Eiken,Universiteitsplein 1, B-2610 Antwerp, Belgium.</t>
  </si>
  <si>
    <t>sofie.vincke@ua.ac.be</t>
  </si>
  <si>
    <t>NENCKI INST EXPERIMENTAL BIOLOGY</t>
  </si>
  <si>
    <t>UL PASTEURA 3, 02-093 WARSAW, POLAND</t>
  </si>
  <si>
    <t>0065-1583</t>
  </si>
  <si>
    <t>ACTA PROTOZOOL</t>
  </si>
  <si>
    <t>Acta Protozool.</t>
  </si>
  <si>
    <t>FEB</t>
  </si>
  <si>
    <t>020RF</t>
  </si>
  <si>
    <t>WOS:000235927200006</t>
  </si>
  <si>
    <t>Grzymski, JJ; Carter, BJ; DeLong, EF; Feldman, RA; Ghadiri, A; Murray, AE</t>
  </si>
  <si>
    <t>Comparative genomics of DNA fragments from six antarctic marine planktonic bacteria</t>
  </si>
  <si>
    <t>GRADIENT GEL-ELECTROPHORESIS; PSYCHROPHILIC ENZYMES; COLD ADAPTATION; MOLECULAR ADAPTATIONS; COASTAL WATERS; 16S RDNA; DIVERSITY; SEA; BACTERIOPLANKTON; ASSEMBLAGES</t>
  </si>
  <si>
    <t>Six environmental fosmid clones from Antarctic coastal water bacterioplankton were completely sequenced. The genome fragments harbored small-subunit rRNA genes that were between 85 and 91% similar to those of their nearest cultivated relatives. The six fragments span four phyla, including the Gemmatimonadetes, Proteobacteria (alpha and gamma), Bacteroidetes, and high-G+C gram-positive bacteria. Gene-finding and annotation analyses identified 244 total open reading frames. Amino acid comparisons of 123 and 113 Antarctic bacterial amino acid sequences to mesophilic homologs from G+C-specific and SwissProt/UniProt databases, respectively, revealed widespread adaptation to the cold. The most significant changes in these Antarctic bacterial protein sequences included a reduction in salt-bridge-forming residues such as arginine, glutamic acid, and aspartic acid, reduced proline contents, and a reduction in stabilizing hydrophobic clusters. Stretches of disordered amino acids were significantly longer in the Antarctic sequences than in the mesophilic sequences. These characteristics were not specific to any one phylum, COG role category, or G+C content and imply that underlying genotypic and biochemical adaptations to the cold are inherent to life in the permanently subzero Antarctic waters.</t>
  </si>
  <si>
    <t>Desert Res Inst, Reno, NV 89512 USA; MIT, Cambridge, MA 02139 USA; Amersham Biosci, Sunnyvale, CA 94086 USA</t>
  </si>
  <si>
    <t>Nevada System of Higher Education (NSHE); Desert Research Institute NSHE; Massachusetts Institute of Technology (MIT)</t>
  </si>
  <si>
    <t>Univ Nevada, Desert Res Inst, 2215 Raggio Pkwy, Reno, NV 89512 USA.</t>
  </si>
  <si>
    <t>alison@dri.edu</t>
  </si>
  <si>
    <t>Grzymski, Joseph/0000-0003-2646-8958</t>
  </si>
  <si>
    <t>10.1128/AEM.72.2.1532-1541.2006</t>
  </si>
  <si>
    <t>012QC</t>
  </si>
  <si>
    <t>WOS:000235353100071</t>
  </si>
  <si>
    <t>Gasparon, M; Matschullat, J</t>
  </si>
  <si>
    <t>Geogenic sources and sinks of trace metals in the Larsemann Hills, East Antarctica: Natural processes and human impact</t>
  </si>
  <si>
    <t>APPLIED GEOCHEMISTRY</t>
  </si>
  <si>
    <t>PRINCESS-ELIZABETH-LAND; FRESH-WATER LAKES; PRYDZ BAY; RATES; SURFACE; GEOCHEMISTRY; ENVIRONMENTS; DEGLACIATION; DISSOLUTION; KINETICS</t>
  </si>
  <si>
    <t>To evaluate the extent of human impact on a pristine Antarctic environment, natural baseline levels of trace metals have been established in the basement rocks of the Larsemann Hills, East Antarctica. From a mineralogical and geochemical point of view the Larsemann Hills basement is relatively homogeneous, and contains high levels of Pb, Th and U. These may become soluble during the relatively mild Antarctic summer and be transported to lake waters by surface and subsurface melt water. Melt waters may also be locally enriched in V, Cr, Co, Ni, Zn and Sri derived from weathering of metabasite pods. With a few notable exceptions, the trace metal concentrations measured in the Larsemann Hills lake waters can be entirely accounted for by natural processes such as sea spray and surface melt water input. Thus, the amount of trace metals released by weathering of basement lithologies and dispersed into the Larsemann Hills environment, and presumably in similar Antarctic environments, is, in general, not negligible, and may locally be substantial. The Larsemann Hills sediments are coarse-grained and contain minute amounts of clay-size particles, although human activities have contributed to the generation of fine-grained material at the most impacted sites. Irrespective of their origin, these small amounts of fine-grained clastic sediments have a relatively small surface area and charge, and are not as effective metal sinks as the abundant, thick cyanobacterial algal mats that cover the lake floors. Thus, the concentration of trace metals in the Larsemann Hills lake waters is regulated by biological activity and thawing-freezing cycles, rather than by the type and amount of clastic sediment supply. (c) 2005 Elsevier Ltd. All rights reserved.</t>
  </si>
  <si>
    <t>Univ Queensland, St Lucia, Qld 4072, Australia; TU Bergakad Freiberg, Interdisciplinary Environm Res Ctr, D-09599 Freiburg, Germany</t>
  </si>
  <si>
    <t>University of Queensland; Technical University Freiberg</t>
  </si>
  <si>
    <t>Univ Queensland, St Lucia, Qld 4072, Australia.</t>
  </si>
  <si>
    <t>massimo@earth.uq.edu.au</t>
  </si>
  <si>
    <t>Matschullat, Jörg/HKV-6370-2023; Matschullat, Jörg/AAW-1655-2021</t>
  </si>
  <si>
    <t>0883-2927</t>
  </si>
  <si>
    <t>1872-9134</t>
  </si>
  <si>
    <t>APPL GEOCHEM</t>
  </si>
  <si>
    <t>Appl. Geochem.</t>
  </si>
  <si>
    <t>10.1016/j.apgeochem.2005.09.013</t>
  </si>
  <si>
    <t>021EJ</t>
  </si>
  <si>
    <t>WOS:000235966200008</t>
  </si>
  <si>
    <t>Bassford, RP; Siegert, MJ; Dowdeswell, JA; Oerlemans, J; Glazovsky, AF; Macheret, YY</t>
  </si>
  <si>
    <t>Quantifying the mass balance of ice caps on Severnaya Zemlya, Russian high arctic. I: Climate and mass balance of tle Vavilov Ice Cap</t>
  </si>
  <si>
    <t>HAUT GLACIER DAROLLA; ENERGY-BALANCE; MODEL; VATNAJOKULL; GREENLAND; ICELAND</t>
  </si>
  <si>
    <t>Due to their remote location within file Russian High Arctic, little is known about the mass balance of ice caps on Severnaya Zemlya now and in the past. Such information is critical, however, to building a global picture of the cryospheric response to climate change. This paper provides a numerical analysis of the climate and mass balance of the Vavilov Ice Cap oil October Revolution Island. Mass balance model results are compared with available glaciological and climatological data. A reference climate was Constructed at file location of Vavilov Station, representing average conditions for file periods 1974-1981 and 1985-1988. The site of the station has a mean annual temperature of -16.5 degrees C, and an annual precipitation of 423 nm water equivalent. The mass balance model was calibrated to the measured mass balance, and tested against the time-dependent evolution of the englacial temperatures (to it depth of 15 m). The mass balance model was then converted toa distributed model for the entire Vavilov Ice Cap. Model results predict the spatial distribution of mass balance components over the ice cap. Processes involving refreezing of water are found to be critical to the ice cap's state of health. Superimposed ice makes Lip 40% of the total net accumulation, With the remaining 60% coming from firn that has been heavily densified by refreezing.</t>
  </si>
  <si>
    <t>Univ Bristol, Sch Geog Sci, Bristol Glaciol Ctr, Bristol BS8 1SS, Avon, England; Univ Cambridge, Scott Polar Res Inst, Cambridge CB2 1ER, England; Inst Marine &amp; Atmospher Res Utrecht, NL-3508 TA Utrecht, Netherlands; Russian Acad Sci, Inst Geog, Moscow, Russia</t>
  </si>
  <si>
    <t>University of Bristol; University of Cambridge; Utrecht University; Russian Academy of Sciences; Institute of Geography, Russian Academy of Sciences</t>
  </si>
  <si>
    <t>m.j.siegert@bristol.ac.uk</t>
  </si>
  <si>
    <t>Oerlemans, Johannes/G-3802-2011; Glazovsky, Andrey/G-9060-2011; Siegert, Martin/M-9939-2019; Siegert, Martin J/A-3826-2008; Yury, Macheret/AAG-7696-2021</t>
  </si>
  <si>
    <t>Glazovsky, Andrey/0000-0001-6275-7517; Siegert, Martin/0000-0002-0090-4806; Siegert, Martin J/0000-0002-0090-4806; Dowdeswell, Julian/0000-0003-1369-9482; Macheret, Yuri/0000-0001-5687-5381</t>
  </si>
  <si>
    <t>10.1657/1523-0430(2006)038[0001:QTMBOI]2.0.CO;2</t>
  </si>
  <si>
    <t>013BR</t>
  </si>
  <si>
    <t>WOS:000235385100001</t>
  </si>
  <si>
    <t>Bassford, RP; Siegert, MJ; Dowdeswell, JA</t>
  </si>
  <si>
    <t>Quantifying the mass balance of ice caps on Severnaya Zemlya, Russian high arctic. II: Modeling the flow of the Vavilov Ice Cap under the present climate</t>
  </si>
  <si>
    <t>To understand how ice mases in file Russian High Arctic respond to climate change, the processes that influence their Current mass balance must be evaluated. A mass balance model Was coupled with an ice-flow model to determine file influence of the present climate regime on the dynamics of the Vavilov Ice Cap, October Revolution Island, Severnaya Zemlya. Model results how that the bulk of the ice cap is flowing relatively slowly, at a velocity of around 5 in a(-1). However, the climate regime encourages the ice cap to migrate toward the precipitation Source in the Southwest. The ice cap may not, therefore, be in equilibrium with file present climate. Given that the response time of the ice cap is of: the order of 1000 years, this noil-equilibrium may be related to changes in climate that Occurred during the Little Ice Age, when the ice cap may have been north of its present position.</t>
  </si>
  <si>
    <t>Univ Bristol, Sch Geog Sci, Bristol Glaciol Ctr, Bristol BS8 1SS, Avon, England; Univ Cambridge, Scott Polar Res Inst, Cambridge CB2 1ER, England</t>
  </si>
  <si>
    <t>Siegert, Martin/0000-0002-0090-4806; Siegert, Martin J/0000-0002-0090-4806; Dowdeswell, Julian/0000-0003-1369-9482</t>
  </si>
  <si>
    <t>10.1657/1523-0430(2006)038[0013:QTMBOI]2.0.CO;2</t>
  </si>
  <si>
    <t>WOS:000235385100002</t>
  </si>
  <si>
    <t>Quantifying the mass balance of ice caps on Severnaya Zemlya, Russian high arctic. III: Sensitivity of ice caps in Severnaya Zemlya to future climate change</t>
  </si>
  <si>
    <t>GLACIERS</t>
  </si>
  <si>
    <t>A Coupled surface mass balance and ice-flow model Was used to predict the response of three ice caps on Severnaya Zemlya, Russian Arctic, to the present climate and to future climate changes as postulated by the Intergovernmental Panel oil Climate Change (IPCC). Ice cap boundary conditions are derived from recent airborne geophysical surveying (Dowdeswell el al., 2002). and model inputs are constructed from available climate data. Model results indicate that, currently, the state of balance of ice caps oil Severnaya Zemlya is dependent oil their size. For small ice caps, such as Pioneer Ice Cap (area 199 km(2)), mass balance is extremely negative. Under Current climate conditions, these relatively small ice caps are predicted to disappear within similar to 1000 years. For larger ice caps, however, Such as the Academy of Sciences Ice Cap (area 5586 km(2)), the accumulation zone is much larger, which results ill these ice caps being approximately in balance today, but still susceptible to decay in future climate scenarios. When climate conditions are changed in the model, its predicted by the IPCC, the mass balance of all ice caps in Severnaya Zemlya is predicted to become negative within a 100 years or so. Although it is difficult to say with certainly the exact rate of decay, it is likely that ice loss from Severnaya Zemlya will contribute, over a period of a few hundred years, a rise in sea level of the order of a few centimeters.</t>
  </si>
  <si>
    <t>Siegert, Martin J/A-3826-2008; Siegert, Martin/M-9939-2019</t>
  </si>
  <si>
    <t>Siegert, Martin J/0000-0002-0090-4806; Siegert, Martin/0000-0002-0090-4806; Dowdeswell, Julian/0000-0003-1369-9482</t>
  </si>
  <si>
    <t>10.1657/1523-0430(2006)038[0021:QTMBOI]2.0.CO;2</t>
  </si>
  <si>
    <t>WOS:000235385100003</t>
  </si>
  <si>
    <t>Brodersen, CR; Germino, MJ; Smith, WK</t>
  </si>
  <si>
    <t>Photosynthesis during an episodic drought in Abies lasiocarpa and Picea engelmannii across an alpine treeline</t>
  </si>
  <si>
    <t>LOW-TEMPERATURE PHOTOINHIBITION; CROWN ARCHITECTURE; SEEDLINGS; LIMITS; SHOOT; AREA</t>
  </si>
  <si>
    <t>Effects of abiotic factors on daily and annual photosynthetic carbon gain were evaluated in Abies lasiocarpa and Picea engelmannii at three sites across an alpine treeline ecotone in the Medicine Bow Mountains of southeastern Wyoming (U.S.A.). In addition, the year 2001-2002 was characterized as an episodic drought (seventh driest year since 1895), including a winter that generated only 45% of normal snowpack. Both species had approximately 50% lower xylem water potentials and photosynthesis compared to previous studies for the same species and locale. In A. lasiocarpa, estimated total photosynthesis for the measurement period (A(tot)) was greatest (28.7 mol m(-2)) at the midecotone site (similar to 3198 m), followed by the alpine site (24.6 mol m(-2)) at similar to 3286 m, and then the forest site (19.4 mol m(-2)) below timberline (similar to 2965 m). Similar results occur-red in P. engelmannii (17.6, 23.4, and 25.3 mol m(-2), respectively). These differences appeared to be most influenced by stomatal rather than non-stomatal effects based on comparisons of photosynthesis, leaf conductance, and internal CO2 concentrations through summer. Although photosynthesis over the summer appeared limited primarily by annual water limitation, the two higher elevation sites had significantly greater values that were associated with microclimatic differences in sunlight incidence and, possibly, temperature.</t>
  </si>
  <si>
    <t>Wake Forest Univ, Dept Biol, Winston Salem, NC 27109 USA; Idaho State Univ, Dept Biol, Pocatello, ID 83209 USA</t>
  </si>
  <si>
    <t>Wake Forest University; Idaho; Idaho State University</t>
  </si>
  <si>
    <t>Wake Forest Univ, Dept Biol, Winston Salem, NC 27109 USA.</t>
  </si>
  <si>
    <t>cbroders@uvm.edu; germmat@isu.edu; smithwk@wfu.edu</t>
  </si>
  <si>
    <t>Brodersen, Craig/AAN-8404-2020; Germino, Matthew J./F-6080-2013</t>
  </si>
  <si>
    <t>Brodersen, Craig/0000-0002-0924-2570; Germino, Matthew J./0000-0001-6326-7579</t>
  </si>
  <si>
    <t>10.1657/1523-0430(2006)038[0034:PDAEDI]2.0.CO;2</t>
  </si>
  <si>
    <t>WOS:000235385100004</t>
  </si>
  <si>
    <t>Conovitz, PA; MacDonald, LH; McKnight, DM</t>
  </si>
  <si>
    <t>Spatial and temporal active layer dynamics along three glacial meltwater streams in the McMurdo Dry Valleys, Antarctica</t>
  </si>
  <si>
    <t>HYPORHEIC ZONE; PERMAFROST; ALASKA; CLIMATE; THICKNESS; PATTERNS; BARROW</t>
  </si>
  <si>
    <t>Active layer thickness was monitored along three ephemeral streams in the Taylor Dry Valley of Antarctica during the 1997-1998 summer season. Five to seven cross sections were established on each stream, and the thickness of the active layer was measured every 1.5 m over intervals ranging from 2 to 30 days. Active layer depths ranged from I minimum of 3 cm in early November to a maximum of 60 cm in late January, and the depth of the active layer increased rapidly as summer temperatures climbed above freezing. While there were significant differences in the thickness of the active layer among the three streams, the timing of rapid thaw was similar for all cross sections. Changes in active layer thickness were responsive to both daily and seasonal changes in air temperature. There was more rapid thaw under the areas with flowing water, suggesting a transfer of heat from meltwater into the underlying sediments, and some evidence of an insulating effect during cold periods. Active layer thickness was not strongly related to modeled differences in incoming solar radiation using 30 in grid cells.</t>
  </si>
  <si>
    <t>Colorado State Univ, Dept Forest Rangeland &amp; Watershed Stewardship, Ft Collins, CO 80523 USA; Inst Arctic &amp; Alpine Res, Boulder, CO 80309 USA</t>
  </si>
  <si>
    <t>Colorado State University</t>
  </si>
  <si>
    <t>Colorado State Univ, Dept Forest Rangeland &amp; Watershed Stewardship, Ft Collins, CO 80523 USA.</t>
  </si>
  <si>
    <t>leemac@warnercnr.colostate.edu</t>
  </si>
  <si>
    <t>MCKNIGHT, DIANE/0000-0002-4171-1533</t>
  </si>
  <si>
    <t>Directorate For Geosciences; Office of Polar Programs (OPP) [1041742] Funding Source: National Science Foundation; Directorate For Geosciences; Office of Polar Programs (OPP) [0832755] Funding Source: National Science Foundation</t>
  </si>
  <si>
    <t>Directorate For Geosciences; Office of Polar Programs (OPP)(National Science Foundation (NSF)NSF - Directorate for Geosciences (GEO)); Directorate For Geosciences; Office of Polar Programs (OPP)(National Science Foundation (NSF)NSF - Directorate for Geosciences (GEO))</t>
  </si>
  <si>
    <t>10.1657/1523-0430(2006)038[0042:SATALD]2.0.CO;2</t>
  </si>
  <si>
    <t>WOS:000235385100005</t>
  </si>
  <si>
    <t>Gliwicz, J; Pagacz, S; Witczuk, J</t>
  </si>
  <si>
    <t>Strategy of food plant selection in the Siberian northern pika, Ochotona hyperborea</t>
  </si>
  <si>
    <t>HERBIVORE; PRINCEPS; BEHAVIOR</t>
  </si>
  <si>
    <t>The rock-dwelling pikas of Asia and North America are suitable model species for studying foraging strategies of small generalist herbivores, because they collect and store green parts of plants for winter. In the past, contents of these stores were subjected to numerous studies but researchers differed in opinions on selective versus opportunistic plant-gathering by pikas. We analyzed plant species composition and their shares (%) in caches and in surrounding habitats in six territories of Ochotona hyperborea in Siberian mountains. We applied Ivlev's Electivity Index for assessing selectivity. We found that some plant species were evidently preferred and others avoided by caching pikas. Among the former, many were rich in secondary compounds, while among the latter, evergreen tuft-forming plants prevailed. Our data conform to earlier findings on selective foraging by the American pika Ochotona princeps, and prove great similarity in winter diet of both species. We discuss possible cues used by rock-dwelling pika species to choose which plants to collect, and suggest that their harvesting strategy is most economic in harsh high-mountain habitats.</t>
  </si>
  <si>
    <t>Polish Acad Sci, Museum &amp; Inst Zool, PL-00679 Warsaw, Poland; Agr Univ Warsaw, Dept Wildlife Management, PL-02787 Warsaw, Poland</t>
  </si>
  <si>
    <t>Polish Academy of Sciences; Museum &amp; Institute of Zoology of the Polish Academy of Sciences; Warsaw University of Life Sciences</t>
  </si>
  <si>
    <t>Polish Acad Sci, Museum &amp; Inst Zool, Wilcza 64, PL-00679 Warsaw, Poland.</t>
  </si>
  <si>
    <t>gliwicz@miiz.waw.pl</t>
  </si>
  <si>
    <t>Pagacz, Stanisław/E-4824-2019</t>
  </si>
  <si>
    <t>Witczuk, Julia/0000-0003-0808-1768; Pagacz, Stanislaw/0000-0002-0650-9575</t>
  </si>
  <si>
    <t>10.1657/1523-0430(2006)038[0054:SOFPSI]2.0.CO;2</t>
  </si>
  <si>
    <t>WOS:000235385100006</t>
  </si>
  <si>
    <t>Gooseff, MN; Lyons, WB; McKnight, DM; Vaughn, BH; Fountain, AG; Dowling, C</t>
  </si>
  <si>
    <t>A stable isotopic investigation of a polar desert hydrologic system, McMurdo Dry Valleys, Antarctica</t>
  </si>
  <si>
    <t>GLACIER-RIVER WATER; TAYLOR VALLEY; DEUTERIUM EXCESS; LAKE BONNEY; CLIMATE-CHANGE; SURFACE SNOW; ICE-SHEET; FLOW; PRECIPITATION; OXYGEN</t>
  </si>
  <si>
    <t>The hydrologic system of the coastal McMurdo Dry Valleys, Antarctica, is defined by snow accumulation, glacier melt, stream flow, and retention in closed-basin, ice-covered lakes. During the austral summers from 1993-1996 and 1999-2000 to 2002-2003, fresh snow, snow pits, glacier ice, stream water, and lake waters were sampled for the stable isotopes deuterium (D) and 180 in order to resolve sources of meltwater and the interactions among the various hydrologic reservoirs in the dry valleys. This data set provides a survey of the distribution of natural water isotope abundances within the well-defined dry valley hydrologic system in Taylor Valley, which extends 20 km inland from McMurdo Sound. The three major Taylor Valley lakes are not connected to one another and their levels are maintained by glacial meltwater inflow and perennial hydrologically, ice-cover sublimation. At the valley scale, glacial ice, snow, stream, and lake waters become more depleted in delta D with increasing distance from McMurdo Sound (further inland). Snow pack in glacial accumulation zones is heterogeneous, likely a result of varying storm sources (continental versus coastal), and, in general, snow pits, fresh snow samples, and glacier ice are more depleted than stream waters. Within the lake basins, glacial ice source waters are depleted by as much as 111 parts per thousand 8D and 20 parts per thousand delta O-18 compared to lake waters. These results demonstrate the importance of in-stream fractionation at the valley scale. In-stream enrichment occurs through direct evaporation fractionation from the channel and hyporheic exchange with isotopically enriched waters in the near-stream subsurface during transport from the glacial source to lake. Furthermore, the results show that lake waters directly reflect their glacial ice sources, despite fractionation during stream transport. Inter-annual comparisons of lake profiles suggest that lake waters are directly influenced by the isotopic composition and amount of stream flow during a season.</t>
  </si>
  <si>
    <t>Colorado Sch Mines, Dept Geol &amp; Geog Engn, Golden, CO 80401 USA; Ohio State Univ, Byrd Polar Res Ctr, Columbus, OH 43210 USA; Univ Colorado, Inst Arctic &amp; Alpine Res, Boulder, CO 80309 USA; Portland State Univ, Dept Geol, Portland, OR 97207 USA; Portland State Univ, Dept Geog, Portland, OR 97207 USA</t>
  </si>
  <si>
    <t>Colorado School of Mines; University System of Ohio; Ohio State University; University of Colorado System; University of Colorado Boulder; Portland State University; Portland State University</t>
  </si>
  <si>
    <t>Colorado Sch Mines, Dept Geol &amp; Geog Engn, Golden, CO 80401 USA.</t>
  </si>
  <si>
    <t>mgooseff@mines.edu</t>
  </si>
  <si>
    <t>Gooseff, Michael/B-9273-2008; Vaughn, Bruce/AAO-8867-2020; Gooseff, Michael N/N-6087-2015</t>
  </si>
  <si>
    <t>Gooseff, Michael N/0000-0003-4322-8315; VAUGHN, BRUCE/0000-0001-6503-957X; MCKNIGHT, DIANE/0000-0002-4171-1533</t>
  </si>
  <si>
    <t>Office of Polar Programs (OPP); Directorate For Geosciences [1041742, 0832755] Funding Source: National Science Foundation</t>
  </si>
  <si>
    <t>Office of Polar Programs (OPP); Directorate For Geosciences(National Science Foundation (NSF)NSF - Directorate for Geosciences (GEO))</t>
  </si>
  <si>
    <t>10.1657/1523-0430(2006)038[0060:ASIIOA]2.0.CO;2</t>
  </si>
  <si>
    <t>WOS:000235385100007</t>
  </si>
  <si>
    <t>Epilithic lichen communities in High Arctic Greenland:: Physical, environmental, and geological aspects of their ecology in Inglefield Land (78°-79°N)</t>
  </si>
  <si>
    <t>FLORA</t>
  </si>
  <si>
    <t>The present investigation of High Arctic epilithic lichens and their substrate is based on field observations in Inglefield Land, North-West Greenland, mainly in 1999, with subsidiary observations from 1995. Eighteen rock samples, all glacial erratics, were specifically selected on the basis of macroscopic mineralization features such as iron and copper staining, vein and breccia structures, and ore minerals. The samples are representative of the crystalline shield, and their lithologies can be matched with exposures in Inglefield Land. Seven lichen communities are recognized, viz. Pleopsidium chlorophanum c., Xanthoria elegans var. splendens c., Dimelaena oreina-Physcia caesia-Xanthoria elegans c., Xanthoria elegans-Umbilicaria virginis c., Orphniospora moriopsis c., Porpidia flavicunda c., and Tremolecia atrata c. The studied material on the 18 samples reveals no conspicuous correlation between metal concentrations in the rock samples and the lichen communities and, broadly speaking, it can be stated that the lichens reflect more the properties of the rock surface, such as, for example, mtrogen- and iron-bearing weathering crusts, than the mineralogical composition of the rocks. However, there is a very close affinity between the Orphniospora moriopsis community and one variety of syenitic rocks with elevated magnetite and phosphorus.</t>
  </si>
  <si>
    <t>Univ Copenhagen, Bot Museum, DK-1123 Copenhagen K, Denmark; Geol Survey Denmark &amp; Greenland, DK-1350 Copenhagen K, Denmark</t>
  </si>
  <si>
    <t>University of Copenhagen; Geological Survey Of Denmark &amp; Greenland</t>
  </si>
  <si>
    <t>Hansen, ES (corresponding author), Univ Copenhagen, Bot Museum, Gothersgade 130, DK-1123 Copenhagen K, Denmark.</t>
  </si>
  <si>
    <t>erich@snm.ku.dk; prd@geus.dk; bth@geus.dk</t>
  </si>
  <si>
    <t>10.1657/1523-0430(2006)038[0072:ELCIHA]2.0.CO;2</t>
  </si>
  <si>
    <t>WOS:000235385100008</t>
  </si>
  <si>
    <t>Haugland, JE</t>
  </si>
  <si>
    <t>Short-term periglacial processes, vegetation succession, and soil development within sorted patterned ground: Jotunheimen, Norway</t>
  </si>
  <si>
    <t>SOUTHERN-NORWAY; SELF-ORGANIZATION; GLACIER FORELAND; DEVON ISLAND; POLAR DESERT; ICE-AGE; CHRONOSEQUENCES; GEOMORPHOLOGY; ENVIRONMENT; PERMAFROST</t>
  </si>
  <si>
    <t>Small (1 &lt; m diameter) sorted patterned ground features were studied on the Little Ice Age forelands of three Jotunheimen glaciers. Patterned ground appears to be most active near the ice margins, declining in intensity of activity with distance from the glaciers. Vegetation and soil development are negligible within patterned ground that is Recent (decadal time frame). Significant (P &lt; 0.05) fine scale differences in vegetation and soil development occur within patterned ground on terrain similar to 70 yr in age, with patterned ground borders having higher values of vegetation cover and thicker soils than that in patterned ground centers. With increasing age of terrain and patterned ground, soil development and vegetation encroach inward toward patterned ground centers, implying that a short-term, active periglacial zone exists near the ice margin, decaying with time and glacier retreat. Specifically, terrain that has been deglaciatcd for similar to 70 years and is approximately similar to 350-500 m from the ice margin shows a significant decline in frost activity, allowing for the initiation of pedogenesis and vegetation colonization.</t>
  </si>
  <si>
    <t>Adams State Coll, Dept Biol &amp; Earth Sci, Phys Geog Program, Alamosa, CO 81102 USA</t>
  </si>
  <si>
    <t>Adams State Coll, Dept Biol &amp; Earth Sci, Phys Geog Program, 208 Edgemont Blvd, Alamosa, CO 81102 USA.</t>
  </si>
  <si>
    <t>jehaugland@adams.edu</t>
  </si>
  <si>
    <t>10.1657/1523-0430(2006)038[0082:SPPVSA]2.0.CO;2</t>
  </si>
  <si>
    <t>WOS:000235385100009</t>
  </si>
  <si>
    <t>Hejcman, M; Dvorak, IJ; Kocianova, M; Pavlu, V; Nezerkova, P; Vitek, O; Rauch, O; Jenik, J</t>
  </si>
  <si>
    <t>Snow depth and vegetation pattern in a late-melting snowbed analyzed by GPS and GIS in the Giant Mountains, Czech Republic</t>
  </si>
  <si>
    <t>GROWING-SEASON; COMMUNITIES; ENVIRONMENT; APENNINES; GRADIENTS; COLORADO; LENGTH; PLANTS; TUNDRA; BED</t>
  </si>
  <si>
    <t>A large, late-melting snowbed and famous landmark was analyzed on a south-facing slope in the Giant (Krkonose/Karkonosze) Mountains, the High Sudetes, Czech Republic. So far, only its maximum snow depth, reportedly between 4 and 20 m, had been merely estimated. Wire probe, can be reliably used up to snow depths of 3 m only. To get more realistic data, two digital models using kinematic carrier phase-based GPS measurements were developed: (1) a model for snow surface data, applied at the end of five winter seasons from 2000 to 2004, and (2) a model for the underlying snow free ground surface, applied after the snow melt in August 2000. These two models, overlaid in the GIS environment, have identified snow depths for each of the 111 phytosociological releves in plots 2 m X 2 m in size. The snow depth maxima recorded in the above given winter seasons were 15.7, 6.1, 13.4, 7.6, and 14.2 m, respectively. To determine the effect of the obtained variables on the vegetation pattern, the relevant snowpack thickness together with snow melting rate, position of the releve, amount of soil skeleton, depth of litter horizon, and depth of the soil profile were used as environmental variables in the Canonical Correspondence Analysis (CCA), which explained 23.1% of the species data variability. The most powerful environmental variables were soil parameters. The vegetation cover significantly decreased as a function of the snow depth. The tiny forb Gnaphalium supinum and the grasses Avenella flexuosa, Deschampsia cespitosa, and Nardus stricta appeared to be the most tolerant species surviving under the deep snow layer and possessing a short vegetation season. Comparison with an earlier study suggested a stabilized pattern of the snow-patch vegetation even after about 50 years.</t>
  </si>
  <si>
    <t>Czech Univ Agr, Dept Ecol &amp; Environm, CZ-16521 Prague, Czech Republic; Krkonose Natl Pk Adm, CZ-54301 Vrchlabi, Czech Republic; Res Inst Crop Prod Prague, Grassland Res Stn, CZ-46001 Liberec, Czech Republic; Nat Conservat Autor Czech Republ, CZ-14000 Prague 4, Czech Republic; Acad Sci Czech Republ, Inst Bot, CZ-37982 Trebon, Czech Republic; Acad Sci Czech Republ, Inst Bot, CZ-25243 Pruhonice, Czech Republic</t>
  </si>
  <si>
    <t>Czech University of Life Sciences Prague; Czech Crop Research Institute (CRI); Czech Academy of Sciences; Institute of Botany of the Czech Academy of Sciences; Czech Academy of Sciences; Institute of Botany of the Czech Academy of Sciences</t>
  </si>
  <si>
    <t>Hejcman, M (corresponding author), Czech Univ Agr, Dept Ecol &amp; Environm, Kamycka 129,6 Suchdol, CZ-16521 Prague, Czech Republic.</t>
  </si>
  <si>
    <t>hejcman@fle.czu.cz</t>
  </si>
  <si>
    <t>Hejcman, Michal/0000-0002-3513-2017</t>
  </si>
  <si>
    <t>10.1657/1523-0430(2006)038[0090:SDAVPI]2.0.CO;2</t>
  </si>
  <si>
    <t>WOS:000235385100010</t>
  </si>
  <si>
    <t>Huelber, K; Gottfried, M; Pauli, H; Reiter, K; Winkler, M; Grabherr, G</t>
  </si>
  <si>
    <t>Phenological responses of snowbed species to snow removal dates in the Central Alps: Implications for climate warming</t>
  </si>
  <si>
    <t>FLOWERING PHENOLOGY; ALPINE PLANTS; VEGETATION; MOUNTAIN; MANIPULATIONS; PATTERNS; IMPACT; LIFE</t>
  </si>
  <si>
    <t>Low temperatures and the short growing season in high altitude snow patches in temperate mountains constrain life cycles and reproduction of snowbed species. This leads to it highly adapted timing of sexual reproduction. Winter precipitation and temperature, the main factors determining growing season length, are predicted to change with global Warming. To understand their impacts on plant phenology, we studied the responses of seven alpine vascular plant species during 2001. Temperature had a clear impact on phenological patterns. The start of the reproductive development was not directly linked with the date of snowmelt, but rather with the cumulative energy input. In addition, photoperiodism may also contribute to the control of plant development through an increasing temporal adjustment of phenology until flowering.</t>
  </si>
  <si>
    <t>Univ Vienna, Dept Conservat Biol, A-1090 Vienna, Austria; Univ Vienna, Dept Vegetat Ecol &amp; Landscape Ecol, A-1090 Vienna, Austria; Univ Nat Resource &amp; Appl Live Sci, Dept Integrat Biol, A-1180 Vienna, Austria</t>
  </si>
  <si>
    <t>University of Vienna; University of Vienna; BOKU University</t>
  </si>
  <si>
    <t>Univ Vienna, Dept Conservat Biol, Althanstr 14, A-1090 Vienna, Austria.</t>
  </si>
  <si>
    <t>hueb@pflaphy.pph.univie.ac.at</t>
  </si>
  <si>
    <t>Hülber, Karl/H-7822-2019; Gottfried, Michael/C-2923-2011; Winkler, Manuela/K-5434-2012</t>
  </si>
  <si>
    <t>Hülber, Karl/0000-0001-9274-1647; Winkler, Manuela/0000-0002-8655-9555; Pauli, Harald/0000-0002-9842-9934</t>
  </si>
  <si>
    <t>10.1657/1523-0430(2006)038[0099:PROSST]2.0.CO;2</t>
  </si>
  <si>
    <t>WOS:000235385100011</t>
  </si>
  <si>
    <t>Klingbjer, P; Neidhart, F</t>
  </si>
  <si>
    <t>The thinning and retreat of Parteglaciaren, northern Sweden, during the twentieth century and its relation to climate</t>
  </si>
  <si>
    <t>MASS-BALANCE MEASUREMENTS; COLD SURFACE-LAYER; TIME-SCALE; GLACIERS; STORGLACIAREN; RECORD</t>
  </si>
  <si>
    <t>Parteglaciaren in northern Sweden has a response time of similar to 200 years, demonstrating a long response time for a continentally located glacier. Paeteglaciaren is a polythermal valley glacier presently covering an area of 10 km(2). Its size will be reduced another 60-70% if the present climate persists and will then only have similar to 30% of its Little Ice Age maximum volume left. Future global warming will of course enhance melt rates, and the relative size and volume reduction will probably be even larger. Photogrammetric studies between 1963 and 1992 show a general thinning of the entire glacier except for the center one of the three cirques in the accumulation area, which seems to have a surface elevation in balance with present climate. Balanced flow studies performed using GPS and Ground Penetrating Radar at the outlet of the cirques gave negative values for two cirques and a positive value for the center cirque. The future Parteglaciaren will split up into three small glaciers, and only the center one will extend beyond its cirque.</t>
  </si>
  <si>
    <t>Stockholm Inst Educ, Off Educ &amp; Res, SE-10026 Stockholm, Sweden; Stockholm Univ, Dept Phys Geog &amp; Quaternary Geol, SE-10691 Stockholm, Sweden</t>
  </si>
  <si>
    <t>Stockholm University; Stockholm University</t>
  </si>
  <si>
    <t>Klingbjer, P (corresponding author), Stockholm Inst Educ, Off Educ &amp; Res, POB 34103, SE-10026 Stockholm, Sweden.</t>
  </si>
  <si>
    <t>per.klingbjer@lhs.se</t>
  </si>
  <si>
    <t>10.1657/1523-0430(2006)038[0104:TTAROP]2.0.CO;2</t>
  </si>
  <si>
    <t>WOS:000235385100012</t>
  </si>
  <si>
    <t>Körner, C; Hoch, G</t>
  </si>
  <si>
    <t>A test of treeline theory on a montane permafrost island</t>
  </si>
  <si>
    <t>PINUS-SYLVESTRIS SEEDLINGS; SOIL-TEMPERATURE; ALPINE TIMBERLINE; MOUNTAIN BIRCH; BOREAL FORESTS; LARIX-DECIDUA; ROOT-GROWTH; ALTITUDE; BIOMASS; SHOOT</t>
  </si>
  <si>
    <t>Trees have a common high elevation distribution limit at similar soil temperatures across the globe. Here we tested whether low temperature in the root zone alone can induce the well known dwarfing at the low temperature growth limit of trees by using a natural experiment with trees growing oil low elevation permafrost ground. At the natural high elevation treeline, both air (shoot) and soil (root) temperature are low, while at the montane permafrost site in the Swiss Jura Mountains, roots are cold, but not shoots. Soil temperature records confirmed that the low elevation study site resembles thermal conditions typical for the high elevation treeline. The warm air conditions have no ameliorating effect on tree growth. Irrespective of shoot temperatures, the root zone temperature and the associated metabolism appear to determine tree growth at this site. The test revealed a critical role of soil temperature, which by itself is sufficient to explain it growth limit of trees associated with a seasonal mean soil temperature at 10 cm depth of around 6 degrees C.</t>
  </si>
  <si>
    <t>Univ Basel, Inst Bot, CH-4056 Basel, Switzerland</t>
  </si>
  <si>
    <t>Univ Basel, Inst Bot, Schonbeinstr 6, CH-4056 Basel, Switzerland.</t>
  </si>
  <si>
    <t>ch.koerner@unibas.ch</t>
  </si>
  <si>
    <t>Körner, Christian/B-6592-2014; Hoch, Guenter/H-1505-2018</t>
  </si>
  <si>
    <t>Körner, Christian/0000-0001-7768-7638; Hoch, Guenter/0000-0003-0985-9746</t>
  </si>
  <si>
    <t>10.1657/1523-0430(2006)038[0113:ATOTTO]2.0.CO;2</t>
  </si>
  <si>
    <t>WOS:000235385100013</t>
  </si>
  <si>
    <t>Muhs, DR; Benedict, JB</t>
  </si>
  <si>
    <t>Eolian additions to late Quaternary alpine soils, Indian Peaks Wilderness Area, Colorado Front Range</t>
  </si>
  <si>
    <t>ENRICHED SURFACE MANTLES; SIZED QUARTZ SILT; WIND RIVER RANGE; NUTRIENT AVAILABILITY; NORTHEASTERN COLORADO; ROCKY-MOUNTAINS; VEGETATION MAP; LOESS DEPOSITS; NIWOT RIDGE; DUST</t>
  </si>
  <si>
    <t>Surface horizons of many alpine soils on Quaternary deposits in high-mountain settings are enriched in silt. The origin of these particles has been debated, particularly in the Rocky Mountain region of North America. The most common explanations are frost shattering of coarser particles and eolian additions from distant sources. We studied soil A horizons on alpine moraines of late-glacial (Satanta Peak) age in the Colorado Front Range. Surface horizons of soils on these moraines are enriched in silt and have a particle size distribution that resembles loess and dust deposits found elsewhere. The compositions of sand and silt fractions of the soils were compared to possible local source rocks, using immobile trace elements Ti, Nb, Zr, Ce, and Y. The sand fractions of soils have a wide range of trace element ratios, similar to the range of values in the local biotite gneiss bedrock. In contrast, silt fractions have narrower ranges of trace element ratios that do not overlap the range of these ratios in biotite gneiss. The particle size and geochemical results support an interpretation that silts in these soils are derived from airborne dust. Eolian silts were most likely derived from distant sources, such as the semiarid North Park and Middle Park basins to the west. We hypothesize that much of the eolian influx to soils of the Front Range occurred during an early to mid-Holocene warm period, when sediment availability in semiarid source basins was at a maximum.</t>
  </si>
  <si>
    <t>US Geol Survey, Fed Ctr, Denver, CO 80255 USA; Ctr Mt Archeol, Ward, CO 80481 USA</t>
  </si>
  <si>
    <t>United States Department of the Interior; United States Geological Survey</t>
  </si>
  <si>
    <t>US Geol Survey, Fed Ctr, MS 980,Box 25046, Denver, CO 80255 USA.</t>
  </si>
  <si>
    <t>dmuhs@usgs.gov</t>
  </si>
  <si>
    <t>10.1657/1523-0430(2006)038[0120:EATLQA]2.0.CO;2</t>
  </si>
  <si>
    <t>WOS:000235385100014</t>
  </si>
  <si>
    <t>Olofsson, J</t>
  </si>
  <si>
    <t>Plant diversity and resilience to reindeer grazing</t>
  </si>
  <si>
    <t>SPECIES-DIVERSITY; BIODIVERSITY; PRODUCTIVITY; HERBIVORES; ECOSYSTEM; STABILITY; COMMUNITIES</t>
  </si>
  <si>
    <t>Higher plant species richness has been proposed to increase the resilience of plant communities to disturbance. The purpose of this Study was to test whether this is true for reindeer grazed arctic tundra vegetation. Plant biomass, plant community structure, and species richness were measured along four fences that separated areas grazed by reindeer from ungrazed areas in northern Norway. I found a negative relationship between plant species richness and the change in species richness and biomass Clue to grazing. These results indicate diversity did not confer greater resilience to increased reindeer grazing intensity. No support for higher grazing pressure in diverse habitats were recorded, thus, these results suggest lower resilience to grazing in species-rich arctic tundra vegetation.</t>
  </si>
  <si>
    <t>Umea Univ, Dept Ecol &amp; Environm Sci, S-90187 Umea, Sweden</t>
  </si>
  <si>
    <t>Umea University</t>
  </si>
  <si>
    <t>Umea Univ, Dept Ecol &amp; Environm Sci, S-90187 Umea, Sweden.</t>
  </si>
  <si>
    <t>Johan.Olofsson@eg.umu.se</t>
  </si>
  <si>
    <t>Olofsson, Johan/A-9362-2009</t>
  </si>
  <si>
    <t>10.1657/1523-0430(2006)038[0131:PDARTR]2.0.CO;2</t>
  </si>
  <si>
    <t>WOS:000235385100015</t>
  </si>
  <si>
    <t>Pohl, S; Marsh, P; Liston, GE</t>
  </si>
  <si>
    <t>Spatial-temporal variability in turbulent fluxes during spring snowmelt</t>
  </si>
  <si>
    <t>BOUNDARY-LAYER-FLOW; BLOWING-SNOW; LOCAL ADVECTION; SENSIBLE HEAT; COMPLEX TERRAIN; ENERGY-BALANCE; SIMPLE-MODEL; SURFACE; MELT; COVER</t>
  </si>
  <si>
    <t>Turbulent sensible and latent heat exchanges play an important role in melting snow covers, contributing 30-40% of overall melt energy with daily values reaching over 50% on warm, cloudy days (Morris, 1989). The spatial variability of these turbulent fluxes across a basin and the relative importance of the differences is not well known. This paper specifically addresses small-scale variabilities in sensible and latent energy fluxes related to topographically induced wind speed variations. A simple wind model was used to simulate topographic effects on the surface wind field. Hourly wind observations were areally distributed by the model and used to calculate spatially variable sensible and latent turbulent heat fluxes for a small (63 km(2)) research catchment dominated by open tundra vegetation. Simulations showed that, even though the study area is characterized by relatively low relief (average slope 3 degrees), the small-scale sensible and latent heat fluxes varied considerably throughout the basin. The resulting variations in snowmelt rates play an important role in the development of a patchy snow cover. Overall, turbulent fluxes within the research area varied by as much as 20% from the mean, leading to differences in potential snowmelt of up to 70 mm snow water equivalent over the entire melt period.</t>
  </si>
  <si>
    <t>Natl Water Res Inst Branch, Saskatoon, SK S7N 3H5, Canada; Colorado State Univ, Dept Atmospher Sci, Ft Collins, CO 80523 USA</t>
  </si>
  <si>
    <t>Environment &amp; Climate Change Canada; National Water Research Institute; Colorado State University</t>
  </si>
  <si>
    <t>Natl Water Res Inst Branch, 11 Innovat Blvd, Saskatoon, SK S7N 3H5, Canada.</t>
  </si>
  <si>
    <t>philip.marsh@ec.gc.ca</t>
  </si>
  <si>
    <t>10.1657/1523-0430(2006)038[0136:SVITFD]2.0.CO;2</t>
  </si>
  <si>
    <t>WOS:000235385100016</t>
  </si>
  <si>
    <t>Vaughan, DG</t>
  </si>
  <si>
    <t>Recent trends in melting conditions on the Antarctic Peninsula and their implications for ice-sheet mass balance and sea level</t>
  </si>
  <si>
    <t>TEMPERATURE; GREENLAND; SHELVES; VARIABILITY; ABLATION; GLACIER; MODEL</t>
  </si>
  <si>
    <t>Long-term records from meteorological stations oil the Antarctic Peninsula show strong rising trends in the annual duration of melting conditions. In each case, the trend is statistically significant and represents a major increase in the potential for melting; for example, between 1950 and 2000 the record from Faraday/Vernadsky Station showed a 74% increase in the number of positive degree-days (PDDs). A simple parameterization of the likely effects of the wan-ning oil the rate of snow melt Suggests all increase across the Antarctic Peninsula ice sheet from 28 +/- 12 Gt a(-I) in 1950, to 54 +/- 26 Gt a(-I) by 2000. Given it similar rate of warming over the next 50 years this may reach 100 46 Gt a(-I). The majority of this increased meltwater does not drain into the sea bill is refrozen in the ice sheet, and it is difficult to predict the fraction of ablation that will become runoff, however, a calculation based oil an established criterion for runoff indicates that the contribution from the Antarctic Peninsula, as a direct and immediate response to climate warming is significant, equivalent to (0.008-0.055) mm a(-I) of global sea level rise. Given future warming this could easily treble in the coming 50 years. This contribution due to increased runoff could be augmented by any dynamic imbalance in the glaciers draining the ice sheet. This finding appears to contradict the conclusions of previous assessments, including the Intergovernmental Panel oil Climate Change, which considered the contribution of runoff from Antarctica to sea level rise Would be insignificant.</t>
  </si>
  <si>
    <t>10.1657/1523-0430(2006)038[0147:RTIMCO]2.0.CO;2</t>
  </si>
  <si>
    <t>WOS:000235385100017</t>
  </si>
  <si>
    <t>In situ spectral analysis of antarctic cryptoendoliths:: Linking biology and geology in the coldest of climates</t>
  </si>
  <si>
    <t>ASTROBIOLOGY</t>
  </si>
  <si>
    <t>MARY ANN LIEBERT INC</t>
  </si>
  <si>
    <t>NEW ROCHELLE</t>
  </si>
  <si>
    <t>140 HUGUENOT STREET, 3RD FL, NEW ROCHELLE, NY 10801 USA</t>
  </si>
  <si>
    <t>1531-1074</t>
  </si>
  <si>
    <t>Astrobiology</t>
  </si>
  <si>
    <t>025DR</t>
  </si>
  <si>
    <t>WOS:000236246000173</t>
  </si>
  <si>
    <t>The bread-crumb trail: Distribution of organic chemical biosignatures from cryptoendolithic communities on the surfaces of arctic and antarctic sandstone rocks</t>
  </si>
  <si>
    <t>WOS:000236246000206</t>
  </si>
  <si>
    <t>Testate rhizopods in the Antarctic Dry Valley Lakes of Murdo sound - A possible mars analogue on earth</t>
  </si>
  <si>
    <t>WOS:000236246000223</t>
  </si>
  <si>
    <t>Genomic and proteomic analysis of the cold-adapted Antarctic halophile, Halorubrum lacusprofundi</t>
  </si>
  <si>
    <t>WOS:000236246000422</t>
  </si>
  <si>
    <t>Brakstad, OG; Bonaunet, K</t>
  </si>
  <si>
    <t>Biodegradation of petroleum hydrocarbons in seawater at low temperatures (0-5 °C) and bacterial communities associated with degradation</t>
  </si>
  <si>
    <t>BIODEGRADATION</t>
  </si>
  <si>
    <t>biotransformation; hydrocarbons; low temperatures; microbial communities; mineralization; petroleum; seawater</t>
  </si>
  <si>
    <t>GRADIENT GEL-ELECTROPHORESIS; CRUDE-OIL; MICROBIAL-DEGRADATION; DIESEL FUEL; FRESH-WATER; SEA; BIOREMEDIATION; ANTARCTICA; GENES; GROWTH</t>
  </si>
  <si>
    <t>In this study biodegradation of hydrocarbons in thin oil films was investigated in seawater at low temperatures, 0 and 5 degrees C. Heterotrophic (HM) or oil-degrading (ODM) microorganisms enriched at the two temperatures showed 16S rRNA sequence similarities to several bacteria of Arctic or Antarctic origin. Biodegradation experiments were conducted with a crude mineral oil immobilized as thin films on hydrophobic Fluortex adsorbents in nutrient-enriched or sterile seawater. Chemical and respirometric analysis of hydrocarbon depletion showed that naphthalene and other small aromatic hydrocarbons (HCs) were primarily biodegraded after dissolution to the water phase, while biodegradation of larger polyaromatic hydrocarbons (PAH) and C-10-C-36 n-alkanes, including n-hexadecane, was associated primarily with the oil films. Biodegradation of PAH and n-alkanes was significant at both 0 and 5 degrees C, but was decreased for several compounds at the lower temperature. n-Hexadecane biodegradation at the two temperatures was comparable at the end of the experiments, but was delayed at 0 degrees C. Investigations of bacterial communities in seawater and on adsorbents by PCR amplification of 16S rRNA gene fragments and DGGE analysis indicated that predominant bacteria in the seawater gradually adhered to the oil-coated adsorbents during biodegradation at both temperatures. Sequence analysis of most DGGE bands aligned to members of the phyla Proteobacteria (Gammaproteobacteria) or Bacteroidetes. Most sequences from experiments at 0 degrees C revealed affiliations to members of Arctic or Antarctic consortia, while no such homology was detected for sequences from degradation experiment run at 5 degrees C. In conclusion, marine microbial communities from cold seawater have potentials for oil film HC degradation at temperatures &lt;= 5 degrees C, and psychrotrophic or psychrophilic bacteria may play an important role during oil HC biodegradation in seawater close to freezing point.</t>
  </si>
  <si>
    <t>SINTEF Mat &amp; Chem, Div Marine Environm Technol, N-7010 Trondheim, Norway</t>
  </si>
  <si>
    <t>SINTEF</t>
  </si>
  <si>
    <t>SINTEF Mat &amp; Chem, Div Marine Environm Technol, St Olavs Pir 2, N-7010 Trondheim, Norway.</t>
  </si>
  <si>
    <t>odd.g.brakstad@sintef.no</t>
  </si>
  <si>
    <t>Shintani, Masaki/A-3219-2012</t>
  </si>
  <si>
    <t>0923-9820</t>
  </si>
  <si>
    <t>1572-9729</t>
  </si>
  <si>
    <t>Biodegradation</t>
  </si>
  <si>
    <t>10.1007/s10532-005-3342-8</t>
  </si>
  <si>
    <t>009NO</t>
  </si>
  <si>
    <t>WOS:000235119000008</t>
  </si>
  <si>
    <t>Peck, LS; Convey, P; Barnes, DKA</t>
  </si>
  <si>
    <t>Environmental constraints on life histories in Antarctic ecosystems: tempos, timings and predictability</t>
  </si>
  <si>
    <t>BIOLOGICAL REVIEWS</t>
  </si>
  <si>
    <t>seasonality; environmental predictability; resource availability; life history; biodiversity; growth; metabolism; activity</t>
  </si>
  <si>
    <t>BIVALVE YOLDIA-EIGHTSI; TEMPERATURE-DEPENDENT BIOGEOGRAPHY; BIOLOGICAL ANTIFREEZE AGENTS; METABOLIC COLD ADAPTATION; KING-GEORGE-ISLAND; SIGNY ISLAND; SOUTHERN-OCEAN; RESPIRATORY METABOLISM; SEASONAL-VARIATION; CLIMATE-CHANGE</t>
  </si>
  <si>
    <t>Knowledge of Antarctic biotas and environments has increased dramatically in recent years. there has also been a rapid increase in the use of novel technologies. Despite this, some fundamental aspects of environmental control that structure physiological, ecological and fife-history traits in Antarctic organisms have received little attention. Possibly the most important of these is the timing and availability of resources, and the way In which this dictates the tempo or pace of life. The clearest view of this effect conics From comparisons of species living in different habitats. Here, We (i) show that the timing and extent of resource availability, from nutrients to colonisable space, differ across Antarctic marine, intertidal and terrestrial habitats, and (ii) illustrate that these differences affect the rate at which organisms function. Consequently, there are many dramatic biological differences between organisms that live as little as 10 m apart, but have gaping voids between them ecologically. Identifying the effects of environmental timing and predictability requires detailed analysis in a wide context, where Antarctic terrestrial and marine ecosystems are at one extreme of the continuum of available environments For many characteristics including temperature, ice cover and seasonality. Anthropocentrically, Antarctica is harsh and as might be expected terrestrial animal and plant diversity and biomass are restricted. By contrast, Antarctic marine biotas are rich and diverse and several phyla are represented at levels greater than global averages. There has been much debate on the relative importance of various physical Factors that structure the characteristics of Antarctic biotas. This is especially so for temperature and seasonality, and their effects on physiology, life history and biodiversity. More recently, habitat age and persistence through previous ice maxima have been identified as key factors dictating biodiversity and endemism. Modern molecular methods have also recently been incorporated into many traditional areas of polar biology. Environmental predictability dictates many of the biological characters seen in all or these areas of Antarctic research.</t>
  </si>
  <si>
    <t>lspe@bas.ac.uk</t>
  </si>
  <si>
    <t>NERC [bas010008, dml011000] Funding Source: UKRI; Natural Environment Research Council [dml011000, bas010008] Funding Source: researchfish</t>
  </si>
  <si>
    <t>1464-7931</t>
  </si>
  <si>
    <t>1469-185X</t>
  </si>
  <si>
    <t>BIOL REV</t>
  </si>
  <si>
    <t>Biol. Rev.</t>
  </si>
  <si>
    <t>10.1017/S1464793105006871</t>
  </si>
  <si>
    <t>023CA</t>
  </si>
  <si>
    <t>WOS:000236101600003</t>
  </si>
  <si>
    <t>Bouvet, VR; Lorello, GR; Ben, RN</t>
  </si>
  <si>
    <t>Aggregation of antifreeze glycoprotein fraction 8 and its effect on antifreeze activity</t>
  </si>
  <si>
    <t>BIOMACROMOLECULES</t>
  </si>
  <si>
    <t>CIRCULAR-DICHROISM SPECTRA; PROTEIN SECONDARY STRUCTURE; ANTARCTIC FISH; POLAR FISH; THERMAL HYSTERESIS; MOLECULAR-WEIGHT; CONFORMATION; SPECTROSCOPY; GLYCOPEPTIDE; DYNAMICS</t>
  </si>
  <si>
    <t>Antifreeze glycoproteins (AFGPs) have many potential applications ranging from the cryopreservation and hypothermic storage of tissues and organs to the preservation of various frozen food products. Since supplying native AFGP for these applications is a labor-intensive and costly process, the rational design and synthesis of functional AFGP analogues is a very attractive alternative. While structure-function studies have implicated specific structural motifs as essential for antifreeze activity in AFGP, the relationship between solution conformation and antifreeze activity is poorly understood. Toward this end, we have analyzed AFGP8 in aqueous solutions using dynamic light scattering (DLS) and circular dichroism (CD). Our results indicate that AFGP8 forms discrete aggregates in solution. These aggregates are predominantly composed of dimers that form at solution concentrations greater than 20 mM. CD spectroscopy indicates that the preferred solution conformation of AFGP8 is consistent with that of random coil. However, significant beta-sheet and alpha-helix character is observed in more concentrated solutions, indicating that these glycopeptides are highly flexible in solution. Aggregation appears to have a minimal effect on the overall solution conformation. Thermal hysteresis (TH) activity of the aggregated solutions is much higher than that of less concentrated solutions that do not form aggregates. While cooperative functioning between lower and higher molecular weight AFGPs has been reported, this is the first instance where cooperative functioning in lower molecular weight AFGPs has been observed.</t>
  </si>
  <si>
    <t>Univ Ottawa, Dept Chem, Ottawa, ON K1N 6N5, Canada</t>
  </si>
  <si>
    <t>University of Ottawa</t>
  </si>
  <si>
    <t>Univ Ottawa, Dept Chem, 10 Marie Curie, Ottawa, ON K1N 6N5, Canada.</t>
  </si>
  <si>
    <t>Robert.Ben@science.uottawa.ca</t>
  </si>
  <si>
    <t>Ben, Robert/0000-0002-4625-5389; Lorello, Gianni/0000-0003-1387-1748</t>
  </si>
  <si>
    <t>PHS HHS [R01 60319] Funding Source: Medline</t>
  </si>
  <si>
    <t>PHS HHS(United States Department of Health &amp; Human ServicesUnited States Public Health Service)</t>
  </si>
  <si>
    <t>1525-7797</t>
  </si>
  <si>
    <t>1526-4602</t>
  </si>
  <si>
    <t>Biomacromolecules</t>
  </si>
  <si>
    <t>10.1021/bm050605t</t>
  </si>
  <si>
    <t>Biochemistry &amp; Molecular Biology; Chemistry, Organic; Polymer Science</t>
  </si>
  <si>
    <t>Biochemistry &amp; Molecular Biology; Chemistry; Polymer Science</t>
  </si>
  <si>
    <t>015FZ</t>
  </si>
  <si>
    <t>WOS:000235538600024</t>
  </si>
  <si>
    <t>Krill, currents, and sea ice:: Euphausia superba and its changing environment</t>
  </si>
  <si>
    <t>BIOSCIENCE</t>
  </si>
  <si>
    <t>Antarctic krill; Southern Ocean; sea ice; currents</t>
  </si>
  <si>
    <t>EAST ANTARCTICA 80-150-DEGREES-E; SOUTH SHETLAND ISLANDS; OCEAN ECOSYSTEMS; LIFE-HISTORY; VARIABILITY; DYNAMICS; BEHAVIOR; ABUNDANCE; CYCLE; WEST</t>
  </si>
  <si>
    <t>Investigations of Antarctic krill (Euphausia superba) over the last 40 years have examined almost every aspect of the biology of these ecologically important animals. Various elements of krill biology have been brought together to provide concepts of how, this species interacts with its environment, but there have been few recent attempts to generate a generalized conceptual model of its life history In this article I present such a model, based art previous descriptions, observations, and recent data from the scientific literature. This model takes into account a range of findings on krill biology and on the relationships between Antarctic krill and its biotic and abiotic environment. Krill life history is thus viewed as all evolved product of interactions between the species and its environment. The model places particular emphasis oil the different forces that act on the larval and adult stages, and on the interaction between krill behavior, systems of ocean currents, and sea ice.</t>
  </si>
  <si>
    <t>So Ocean Ecosyst, Australian Antarctic Div, Dept Environm &amp; Heritage, Kingston, Tas 7050, Australia</t>
  </si>
  <si>
    <t>So Ocean Ecosyst, Australian Antarctic Div, Dept Environm &amp; Heritage, Kingston, Tas 7050, Australia.</t>
  </si>
  <si>
    <t>steve.nicol@aad.gov.au</t>
  </si>
  <si>
    <t>0006-3568</t>
  </si>
  <si>
    <t>1525-3244</t>
  </si>
  <si>
    <t>Bioscience</t>
  </si>
  <si>
    <t>10.1641/0006-3568(2006)056[0111:KCASIE]2.0.CO;2</t>
  </si>
  <si>
    <t>013QA</t>
  </si>
  <si>
    <t>WOS:000235422800012</t>
  </si>
  <si>
    <t>Strugnell, J; Jackson, J; Drummond, AJ; Cooper, A</t>
  </si>
  <si>
    <t>Divergence time estimates for major cephalopod groups: evidence from multiple genes</t>
  </si>
  <si>
    <t>CLADISTICS</t>
  </si>
  <si>
    <t>COLEOID CEPHALOPODS; EVOLUTIONARY RATE; PHYLOGENY; MOLLUSCA; OCTOPUS; DATES</t>
  </si>
  <si>
    <t>This is the first study to use both molecular and fossil data to date the divergence of taxa within the coleoid cephalopods (octopus, squid, cuttlefish). A dataset including sequences from three nuclear and three mitochondrial genes (3415 bp in total) was used to investigate the evolutionary divergences within the group. Divergence time analyses were performed using the Thorne/Kishino method of analysis which allows multiple constraints from the fossil record and permits rates of molecular evolution to vary on different branches of a phylogenetic tree. The data support a Paleozoic origin of the Orders Vampyromorpha, Octopoda and the majority of the extant higher level decapodiform taxa. These estimated divergence times are considerably older than paleontological estimates. The major lineages within the Order Octopoda were estimated to have diverged in the Mesozoic, with a radiation of many taxa around the Cretaceous/Cenozoic boundary. Higher level decapodiform phylogenetic relationships appear to have been obscured due to an ancient diversification of this group. (c) The Willi Hennig Society 2006.</t>
  </si>
  <si>
    <t>British Antarctic Survey, Cambridge CB3 0ET, England; Dept Zool, Oxford OX1 3PS, England; Queens Univ Belfast, Sch Biol &amp; Biochem, Belfast BT9 7BL, Antrim, North Ireland</t>
  </si>
  <si>
    <t>UK Research &amp; Innovation (UKRI); Natural Environment Research Council (NERC); NERC British Antarctic Survey; Queens University Belfast</t>
  </si>
  <si>
    <t>jmst@bas.ac.uk</t>
  </si>
  <si>
    <t>Strugnell, Jan/B-1698-2010; Drummond, Alexei J/A-3209-2010; Strugnell, Jan/C-5522-2008; Jackson, Jennifer A/E-7997-2013; Cooper, Alan/E-8171-2012</t>
  </si>
  <si>
    <t>Drummond, Alexei J/0000-0003-4454-2576; Strugnell, Jan/0000-0003-2994-637X; Jackson, Jennifer/0000-0003-4158-1924; Cooper, Alan/0000-0002-7738-7851</t>
  </si>
  <si>
    <t>0748-3007</t>
  </si>
  <si>
    <t>1096-0031</t>
  </si>
  <si>
    <t>Cladistics</t>
  </si>
  <si>
    <t>10.1111/j.1096-0031.2006.00086.x</t>
  </si>
  <si>
    <t>008BS</t>
  </si>
  <si>
    <t>WOS:000235015800004</t>
  </si>
  <si>
    <t>Wang, XLL; Swail, VR</t>
  </si>
  <si>
    <t>Climate change signal and uncertainty in projections of ocean wave heights</t>
  </si>
  <si>
    <t>VARIABILITY; ENSEMBLE</t>
  </si>
  <si>
    <t>In this study, projections of seasonal means and extremes of ocean wave heights were made using projections of sea level pressure fields conducted with three global climate models for three forcing-scenarios. For each forcing-scenario, the three climate models' projections were combined to estimate the multi-model mean projection of climate change. The relative importance of the variability in the projected wave heights that is due to the forcing prescribed in a forcing-scenario was assessed on the basis of ensemble simulations conducted with the Canadian coupled climate model CGCM2. The uncertainties in the projections of wave heights that are due to differences among the climate models and/or among the forcing-scenarios were characterized. The results show that the multi-model mean projection of climate change has patterns similar to those derived from using the CGCM2 projections alone, but the magnitudes of changes are generally smaller in the boreal oceans but larger in the region nearby the Antarctic coastal zone. The forcing-induced variance (as simulated by CGCM2) was identified to be of substantial magnitude in some areas in all seasons. The uncertainty due to differences among the forcing-scenarios is much smaller than that due to differences among the climate models, although it was identified to be statistically significant in most areas of the oceans (this indicates that different forcing conditions do make notable differences in the wave height climate change projection). The sum of the model and forcing-scenario uncertainties is smaller in the JFM and AMJ seasons than in other seasons, and it is generally small in the mid-high latitudes and large in the tropics. In particular, some areas in the northern oceans were projected to have large changes by all the three climate models.</t>
  </si>
  <si>
    <t>Meteorol Serv Canada, Climate Res Branch, Toronto, ON M3H 5T4, Canada</t>
  </si>
  <si>
    <t>Environment &amp; Climate Change Canada; Meteorological Service of Canada</t>
  </si>
  <si>
    <t>Meteorol Serv Canada, Climate Res Branch, 4905 Dufferin St, Toronto, ON M3H 5T4, Canada.</t>
  </si>
  <si>
    <t>Xiaolan.Wang@ec.gc.ca</t>
  </si>
  <si>
    <t>2-3</t>
  </si>
  <si>
    <t>10.1007/s00382-005-0080-x</t>
  </si>
  <si>
    <t>009RP</t>
  </si>
  <si>
    <t>WOS:000235130400001</t>
  </si>
  <si>
    <t>Raphael, MN; Holland, MM</t>
  </si>
  <si>
    <t>Twentieth century simulation of the southern hemisphere climate in coupled models. Part 1: large scale circulation variability</t>
  </si>
  <si>
    <t>LOW-FREQUENCY VARIABILITY; SEMIANNUAL OSCILLATION; INTERANNUAL VARIATIONS; ANTARCTIC OSCILLATION; ANNUAL CYCLE; OCEAN; REANALYSIS; MODULATION; MECHANISM; TRENDS</t>
  </si>
  <si>
    <t>The ability of five, global coupled climate models to simulate important atmospheric circulation characteristics in the Southern Hemisphere for the period 1960-1999 is assessed. The circulation features examined are the Southern Hemisphere annular mode (SAM), the semi-annual oscillation (SAO) and the quasi-stationary zonal wave 3 (ZW3). The models assessed are the National Center for Atmospheric Research Community Climate System Model Version 3 (CCSM3), the Commonwealth Scientific and Industrial Research Organisation Mark 3, the Geophysical Fluid Dynamics Laboratory Model, the Goddard Institute for Space Studies Model ER (GISS-ER) and the UK Meteorological Office Hadley Center Coupled Model Version 3. The simulations were compared to the NCAR-NCEP reanalyses. The models simulate a SAO which differs spatially from the observed over the Pacific and Indian oceans. The amplitudes are too high over the southern ocean and too low over the midlatitudes. These differences are attributed to a circumpolar trough which is too deep and extends too far north, and to the inability of the models to simulate the middle to high latitude temperature gradient. The SAM is well-represented spatially by most models but there are important differences which may influence the flow over the Pacific and in the region extending from the Ross to Weddell Seas. The observed trend towards positive polarity in the SAM is apparent in the ensemble averages of the GISS-ER and CCSM3 simulations, suggesting that the trend is due to external forcing by changes in the concentration of ozone and greenhouse gases. ZW3 is well-represented by the models but the observed trend towards positive phases of ZW3 is not apparent in the simulations suggesting that the observed trend may be due to natural variability, not external forcing.</t>
  </si>
  <si>
    <t>Univ Calif Los Angeles, Dept Geog, Los Angeles, CA 90095 USA; Natl Ctr Atmospher Res, Boulder, CO 80307 USA</t>
  </si>
  <si>
    <t>University of California System; University of California Los Angeles; National Center Atmospheric Research (NCAR) - USA</t>
  </si>
  <si>
    <t>Univ Calif Los Angeles, Dept Geog, 1255 Bunche Hall, Los Angeles, CA 90095 USA.</t>
  </si>
  <si>
    <t>raphael@geog.ucla.edu; mholland@ucar.edu</t>
  </si>
  <si>
    <t>Holland, Marika/0000-0001-5621-8939</t>
  </si>
  <si>
    <t>10.1007/s00382-005-0082-8</t>
  </si>
  <si>
    <t>WOS:000235130400007</t>
  </si>
  <si>
    <t>Holland, MM; Raphael, MN</t>
  </si>
  <si>
    <t>Twentieth century simulation of the southern hemisphere climate in coupled models. Part II: sea ice conditions and variability</t>
  </si>
  <si>
    <t>ANTARCTIC CIRCUMPOLAR WAVE; ATMOSPHERE; DIPOLE; SIGNAL; EXTENT</t>
  </si>
  <si>
    <t>We examine the representation of the mean state and interannual variability of Antarctic sea ice in six simulations of the twentieth century from coupled models participating in the Intergovernmental Panel on Climate Change fourth assessment report. The simulations exhibit a largely seasonal southern hemisphere ice cover, as observed. There is a considerable scatter in the monthly simulated climatological ice extent among different models, but no consistent bias when compared to observations. The scatter in maximum winter ice extent among different models is correlated to the strength of the climatological zonal winds suggesting that wind forced ice transport is responsible for much of this scatter. Observations show that the leading mode of southern hemisphere ice variability exhibits a dipole structure with anomalies of one sign in the Atlantic sector associated with anomalies of the opposite sign in the Pacific sector. The observed ice anomalies also exhibit eastward propagation with the Antarctic circumpolar current, as part of the documented Antarctic circumpolar wave phenomenon. Many of the models do simulate dipole-like behavior in sea ice anomalies as the leading mode of ice variability, but there is a large discrepancy in the eastward propagation of these anomalies among the different models. Consistent with observations, the simulated Antarctic dipole-like variations in the ice cover are led by sea-level pressure anomalies in the Amundsen/ Bellingshausen Sea. These are associated, to different degrees in different models, with both the southern annular mode and the El Nino-Southern Oscillation (ENSO). There are indications that the magnitude of the influence of ENSO on the southern hemisphere ice cover is related to the strength of ENSO events simulated by the different models.</t>
  </si>
  <si>
    <t>Natl Ctr Atmospher Res, Boulder, CO 80307 USA; Univ Calif Los Angeles, Dept Geog, Los Angeles, CA 90095 USA</t>
  </si>
  <si>
    <t>National Center Atmospheric Research (NCAR) - USA; University of California System; University of California Los Angeles</t>
  </si>
  <si>
    <t>mholland@cgd.ucar.edu; raphael@geog.ucla.edu</t>
  </si>
  <si>
    <t>10.1007/s00382-005-0087-3</t>
  </si>
  <si>
    <t>WOS:000235130400008</t>
  </si>
  <si>
    <t>Landais, A; Masson-Delmotte, V; Jouzel, J; Raynaud, D; Johnsen, S; Huber, C; Leuenberger, M; Schwander, J; Minster, B</t>
  </si>
  <si>
    <t>The glacial inception as recorded in the NorthGRIP Greenland ice core: timing, structure and associated abrupt temperature changes</t>
  </si>
  <si>
    <t>CLIMATE-CHANGE; ATLANTIC OCEAN; DELTA O-18; THERMOHALINE CIRCULATION; ATMOSPHERIC CO2; TRAPPED AIR; VOSTOK; MODEL; SEA; TERMINATION</t>
  </si>
  <si>
    <t>The mechanisms involved in the glacial inception are still poorly constrained due to a lack of high resolution and cross-dated climate records at various locations. Using air isotopic measurements in the recently drilled NorthGRIP ice core, we show that no evidence exists for stratigraphic disturbance of the climate record of the last glacial inception (similar to 123-100 kyears BP) encompassing Dansgaard-Oeschger events (DO) 25, 24 and 23, even if we lack sufficient resolution to completely rule out disturbance over DO 25. We quantify the rapid surface temperature variability over DO 23 and 24 with associated warmings of 10 +/- 2.5 and 16 +/- 2.5 degrees C, amplitudes which mimic those observed in full glacial conditions. We use records of delta O-18 of O-2 to propose a common timescale for the NorthGRIP and the Antarctic Vostok ice cores, with a maximum uncertainty of 2,500 years, and to examine the interhemispheric sequence of events over this period. After a synchronous North-South temperature decrease, the onset of rapid events is triggered in the North through DO 25. As for later events, DO 24 and 23 have a clear Antarctic counterpart which does not seem to be the case for the very first abrupt warming (DO 25). This information, when added to intermediate levels of CO2 and to the absence of clear ice rafting associated with DO 25, highlights the uniqueness of this first event, while DO 24 and 23 appear similar to typical full glacial DO events.</t>
  </si>
  <si>
    <t>CEA Saclay, CNRS, UMR, IPSL,Lab Sci Climat &amp; Environm, F-91191 Gif Sur Yvette, France; UJF, CNRS, UMR 2, LGGE, F-38402 St Martin Dheres, France; Univ Copenhagen, Dept Geophys, DK-2100 Copenhagen, Denmark; Univ Bern, Inst Phys, CH-3012 Bern, Switzerland; Hebrew Univ Jerusalem, Inst Earth Sci, IL-91904 Jerusalem, Israel</t>
  </si>
  <si>
    <t>Universite Paris Saclay; Universite Paris Cite; CEA; Centre National de la Recherche Scientifique (CNRS); Centre National de la Recherche Scientifique (CNRS); Communaute Universite Grenoble Alpes; Universite Grenoble Alpes (UGA); University of Copenhagen; University of Bern; Hebrew University of Jerusalem</t>
  </si>
  <si>
    <t>CEA Saclay, CNRS, UMR, IPSL,Lab Sci Climat &amp; Environm, F-91191 Gif Sur Yvette, France.</t>
  </si>
  <si>
    <t>landais@vms.huji.ac.il</t>
  </si>
  <si>
    <t>raynaud, dominique/ABG-4718-2020; Raynaud, Dominique/H-9626-2016; Leuenberger, Markus C/K-9655-2016; Masson-Delmotte, Valerie L/G-1995-2011</t>
  </si>
  <si>
    <t>Leuenberger, Markus C/0000-0003-4299-6793; Masson-Delmotte, Valerie L/0000-0001-8296-381X; LANDAIS, Amaelle/0000-0002-5620-5465; Huber, Christof/0000-0001-5767-045X</t>
  </si>
  <si>
    <t>10.1007/s00382-005-0063-y</t>
  </si>
  <si>
    <t>WOS:000235130400010</t>
  </si>
  <si>
    <t>Erickson, JR; Moerland, TS</t>
  </si>
  <si>
    <t>Functional characterization of parvalbumin from the Arctic cod (Boreogadus saida):: Similarity in calcium affinity among parvalbumins from polar teleosts</t>
  </si>
  <si>
    <t>calcium affinity; calcium-binding protein; EF-hand protein; muscle; parvalbumin; telcost fish; temperature</t>
  </si>
  <si>
    <t>SKELETAL-MUSCLE RELAXATION; EF-HAND; RAT PARVALBUMIN; MAGNESIUM BINDING; PROTEINS; TEMPERATURE; EVOLUTION; FISHES; STABILITY; DOMAIN</t>
  </si>
  <si>
    <t>Calcium dissociation constants (K-D) were measured as a function of temperature for parvalbumin, a small acidic protein expressed abundantly in fast-twitch muscle, from the Arctic cod (Boreogadus saida) and compared to values previously determined for Antarctic and temperate zone teleosts. Estimates of K-D were derived independently from fluorometric titrations and calorimetry. In addition, the primary structure of B. saida parvalbumin was determined. Calcium K(D)s for parvalbumin from B. saida were fundamentally similar to those for parvalbumins from Antarctic species (6.68 +/- 0.59 nM and 7.77 +/- 0.72 nM at 5 degrees C, respectively), but significantly different from temperate zone species (1.35 +/- 0.28 nM at 5 degrees C). However, estimates of K-D for B. saida parvalbumin at 5 degrees C closely matched values for temperate zone fish at 25 degrees C (6.54 +/- 0.56 nM), recapitulating the prior observation that calcium affinity of parvalbumin is conserved at the native temperature of teleost fish. Full sequence of B. saida parvalbumin was generated using reverse-phase HPLC and RACE-PCR. The Arctic parvalbumin showed 83% homology to a carp parvalbumin. None of the 16 total substitutions between the two parvalbumins resided in the cation binding sites of the protein, indicating that the structural locus of the thermal sensitivity of function lies outside the active regions. (C) 2005 Elsevier Inc. All rights reserved.</t>
  </si>
  <si>
    <t>Florida State Univ, Dept Biol Sci, Tallahassee, FL 32306 USA</t>
  </si>
  <si>
    <t>State University System of Florida; Florida State University</t>
  </si>
  <si>
    <t>Florida State Univ, Dept Biol Sci, B-157, Tallahassee, FL 32306 USA.</t>
  </si>
  <si>
    <t>moerland@bio.fsu.edu</t>
  </si>
  <si>
    <t>1531-4332</t>
  </si>
  <si>
    <t>10.1016/j.cbpa.2005.11.020</t>
  </si>
  <si>
    <t>015WY</t>
  </si>
  <si>
    <t>WOS:000235583300010</t>
  </si>
  <si>
    <t>Vakulenko, NV; Kotlyakov, VM; Monin, AS; Sonechkin, DM</t>
  </si>
  <si>
    <t>Vakulenko, N. V.; Kotlyakov, V. M.; Monin, A. S.; Sonechkin, D. M.</t>
  </si>
  <si>
    <t>Symmetry of late Pleistocene glacial cycles in records of the Antarctic Vostok and Dome C Stations</t>
  </si>
  <si>
    <t>Russian Acad Sci, PP Shirshov Oceanol Inst, Moscow 117997, Russia; Russian Acad Sci, Inst Geog, Moscow 119017, Russia</t>
  </si>
  <si>
    <t>Russian Academy of Sciences; Shirshov Institute of Oceanology; Institute of Geography, Russian Academy of Sciences; Russian Academy of Sciences</t>
  </si>
  <si>
    <t>Vakulenko, NV (corresponding author), Russian Acad Sci, PP Shirshov Oceanol Inst, Nakhimovskii Pr 36, Moscow 117997, Russia.</t>
  </si>
  <si>
    <t>dsonech@mecom.ru</t>
  </si>
  <si>
    <t>Vakulenko, Nadezda/0000-0003-4385-8659; Sonechkin, Dmitry/0000-0003-3771-3824</t>
  </si>
  <si>
    <t>10.1134/S1028334X06020395</t>
  </si>
  <si>
    <t>140RT</t>
  </si>
  <si>
    <t>WOS:000244524900039</t>
  </si>
  <si>
    <t>Smellie, JL</t>
  </si>
  <si>
    <t>The relative importance of supraglacial versus subglacial meltwater escape in basaltic subglacial tuya eruptions: An important unresolved conundrum</t>
  </si>
  <si>
    <t>subglacial; tuya; basalt; hydraulics; glaciovolcanic; meltwater; supraglacial; James Ross Island</t>
  </si>
  <si>
    <t>ANTARCTIC PENINSULA; VOLCANIC-ERUPTIONS; WATER-FLOW; ICE CAP; SNOW; LAVA; VATNAJOKULL; GLACIER; ISLAND; PRODUCTS</t>
  </si>
  <si>
    <t>The hydraulic behaviour of meltwater during subglacial basaltic eruptions in temperate ice is of paramount importance in understanding the eruptive processes, lithofacies and architecture of the edifices formed. Hydraulics also determines the timing, location and volume of meltwater discharge, which may be sudden and catastrophic and via subglacial and/or supraglacial routes. Increasing our knowledge of meltwater hydraulics is therefore important for understanding, predicting and mitigating the impact of meltwater release on vulnerable human communities. New observations about eruption-related meltwater hydraulics are presented for well-exposed glaciovolcanic lava-fed deltas on James Ross Island, Antarctica, and accounts of historical eruptions are also re-examined to identify the major meltwater discharge routes. The study provides the first conceptual model for how meltwater escapes supraglacially. In the absence of a crevassed layer (which will dominate any meltwater flow), overflowing may be initiated by enhanced rates of seepage, despite the intrinsically low hydraulic conductivities of snow and firn. Once overflowing is established, the rate of spillway incision is a likely overriding control on the evolution of the system and whether the discharge is unstable (fast) or stable (slower). The James Ross Island sequences demonstrate that meltwater discharge is highly dynamic and may have involved both subglacial and supraglacial escape. Subglacial discharge probably occurs throughout basaltic tuya eruptions but some periods may be dominated by concurrent overflowing. It is still unclear if overflowing systems are sufficiently stable to enable the growth of laterally extensive glaciovolcanic lava-fed deltas. (c) 2005 Elsevier B.V. All rights reserved.</t>
  </si>
  <si>
    <t>10.1016/j.earscirev.2005.09.004</t>
  </si>
  <si>
    <t>024RI</t>
  </si>
  <si>
    <t>WOS:000236213300003</t>
  </si>
  <si>
    <t>Arnold, JM; Brault, S; Croxall, JP</t>
  </si>
  <si>
    <t>Albatross populations in peril: A population trajectory for black-browed albatrosses at South Georgia</t>
  </si>
  <si>
    <t>ECOLOGICAL APPLICATIONS</t>
  </si>
  <si>
    <t>albatross; black-browed albatross; bycatch; Diomedea melanophris; endangered species; IUCN Red List; longline fishing; LTRE; Patagonian toothfish; population model; South Georgia; viability analysis</t>
  </si>
  <si>
    <t>DIOMEDEA-MELANOPHRIS; LONGLINE FISHERY; HEADED ALBATROSSES; BIRD ISLAND; KRILL; MORTALITY; TRAWLERS; CHRYSOSTOMA; PREDATORS; DYNAMICS</t>
  </si>
  <si>
    <t>Simulation modeling was used to reconstruct Black-browed Albatross (Diomedea melanophris) population trends. Close approximations to observed data were accomplished by annually varying survival rates, reproductive success, and probabilities of returning to breed given success in previous years. The temporal shift in annual values coincided with the start of longline fishing at South Georgia and potential changes in krill abundance. We used 23 years of demographic data from long-term studies of a breeding colony of this species at Bird Island, South Georgia, to validate our model. When we used annual parameter estimates for survival; reproductive success, and probabilities of returning to breed given success in previous years, our model trajectory closely followed the observed changes in breeding population size over time. Population growth rate was below replacement (lambda &lt; 1) in most years and was most sensitive to changes in adult survival. This supports the recent IUCN uplisting of this species from Vulnerable to Endangered. Comparison of pre-1988 and post-1988 demography (before and after the inception of a longline fishery in the breeding area) reveals a decrease in lambda from 0.963 to 0.910. A life table response experiment (LTRE) showed that this decline in lambda was caused mostly by declines in survival of adults. If 1988-1998 demographic rates are maintained, the model predicts a 98% chance of a population of fewer than 25 pairs within 78 years. For this population to recover to a status under which it could be delisted, a 10% increase in survival of all age classes would be needed.</t>
  </si>
  <si>
    <t>Univ Massachusetts, Dept Biol, Boston, MA 02125 USA; British Antarctic Survey, NERC, Cambridge CB3 0ET, England</t>
  </si>
  <si>
    <t>University of Massachusetts System; University of Massachusetts Boston; UK Research &amp; Innovation (UKRI); Natural Environment Research Council (NERC); NERC British Antarctic Survey</t>
  </si>
  <si>
    <t>USGS Patuxent Wildlife Res Ctr, 12100 Beech Forest Rd, Laurel, MD 20708 USA.</t>
  </si>
  <si>
    <t>jmarnold@usgs.gov</t>
  </si>
  <si>
    <t>1051-0761</t>
  </si>
  <si>
    <t>1939-5582</t>
  </si>
  <si>
    <t>ECOL APPL</t>
  </si>
  <si>
    <t>Ecol. Appl.</t>
  </si>
  <si>
    <t>10.1890/03-5340</t>
  </si>
  <si>
    <t>028SW</t>
  </si>
  <si>
    <t>WOS:000236510100036</t>
  </si>
  <si>
    <t>Thompson, BAW; Davies, NW; Goldsworthy, PM; Riddle, MJ; Snape, I; Stark, JS</t>
  </si>
  <si>
    <t>In situ lubricant degradation in Antarctic marine sediments. 1. Short-term changes</t>
  </si>
  <si>
    <t>ENVIRONMENTAL TOXICOLOGY AND CHEMISTRY</t>
  </si>
  <si>
    <t>lubricants; biodegradation; Antarctica; sediments; additives</t>
  </si>
  <si>
    <t>ARCTIC OIL-SPILL; SYNTHETIC LUBRICANT; BIODEGRADATION; CONTAMINATION; HYDROCARBONS; DERIVATIVES; ADDITIVES</t>
  </si>
  <si>
    <t>A large-scale, in situ experiment was set up near the Bailey Peninsula area (Casey Station, East Antarctica) to monitor the natural attenuation of synthetic lubricants in marine sediments over five years. Here, we report the short-term changes after 5 and 56 weeks. The lubricants tested were an unused and used Mobil lubricant (OW/40; Exxon Mobil, Irving, TX, USA) and a biodegradable alternative (OW/20; Fuchs Lubricants, Harvey, IL, USA). Clean sediment was collected, contaminated with the lubricants, and deployed by divers onto the seabed in a randomized block design. The sampled sediments were analyzed by gas chromatography-flame-ionization detector and gas chromatography-mass spectrometry with selective ion monitoring. The base fluid of all lubricant treatments did not decrease significantly after 56 weeks in situ. Alkanoate esters of 1,1,1-tris(hydroxymethyl)propane in the biodegradable and unused lubricants were degraded extensively in situ; however, these esters constituted only a minor proportion of the lubricant volume. The additives, alkylated naphthalenes and substituted diphenylamines, were fairly resistant to degradation, which is of environmental concern because of their toxicity. The biodegradable lubricant did not break down to recognized biodegradable thresholds and, as such, should not be classified as biodegradable under Antarctic marine conditions. A separate experiment was conducted to determine the influence of sediment preparation and deployment on compound ratios within the lubricants, and we found that preparation and deployment of the contaminated sediments had only a minor effect on compound recovery. Further monitoring of this in situ experiment will provide much needed information about the long-term natural attenuation of lubricants.</t>
  </si>
  <si>
    <t>Australian Antarctic Div, Human Impacts Res Program, Kingston, Tas 7050, Australia; Univ Tasmania, Cent Sci Lab, Sandy Bay, Tas 7004, Australia</t>
  </si>
  <si>
    <t>Australian Antarctic Div, Human Impacts Res Program, Channel Highway, Kingston, Tas 7050, Australia.</t>
  </si>
  <si>
    <t>belinda.thompson@erm.com</t>
  </si>
  <si>
    <t>Stark, Jonathan/ABF-4025-2020; Davies, Noel/J-7714-2014</t>
  </si>
  <si>
    <t>Stark, Jonathan/0000-0002-4268-8072; Davies, Noel/0000-0002-9624-0935</t>
  </si>
  <si>
    <t>0730-7268</t>
  </si>
  <si>
    <t>1552-8618</t>
  </si>
  <si>
    <t>ENVIRON TOXICOL CHEM</t>
  </si>
  <si>
    <t>Environ. Toxicol. Chem.</t>
  </si>
  <si>
    <t>10.1897/05-015R.1</t>
  </si>
  <si>
    <t>Environmental Sciences; Toxicology</t>
  </si>
  <si>
    <t>004ZS</t>
  </si>
  <si>
    <t>WOS:000234792000007</t>
  </si>
  <si>
    <t>Madonna, S; Papa, R; Birolo, L; Autore, F; Doti, N; Marino, G; Quemeneur, E; Sannia, G; Tutino, ML; Duilio, A</t>
  </si>
  <si>
    <t>The thiol-disulfide oxidoreductase system in the cold-adapted bacterium Pseudoalteromonas haloplanktis TAC 125:: discovery of a novel disulfide oxidoreductase enzyme</t>
  </si>
  <si>
    <t>Pseudoalteromonas haloplanktis; gene regulation; cold adaptation; thiol disulfide oxidoreductase pathways; protein folding; DsbA</t>
  </si>
  <si>
    <t>BOND FORMATION INVIVO; ESCHERICHIA-COLI; MOLECULAR CHARACTERIZATION; NEISSERIA-MENINGITIDIS; ANTARCTIC BACTERIUM; VIRULENCE PLASMID; ACTIVE-SITE; DSBA; PROTEIN; GROWTH</t>
  </si>
  <si>
    <t>In prokaryotes, protein disulfide bond oxidation, reduction and isomerization are catalyzed by members of the thioredoxin superfamily, characterized by the conserved C-X-X-C motif in their active site. Thioredoxins and glutaredoxins contribute to the reducing power in the cytoplasm, while the Dsb system catalyzes disulfide bonds Formation in the periplasmic space. This paper addresses the question of disulfide bonds Formation in a cold-adapted micro-organism, Pseudoalteromonas haloplanktis TAC 125 (PhTAC125) by characterizing the DsbA system. We found distinctive features respect mesophilic counterparts that highlighted for the first time the occurrence of two adjacent chromosomal DsbA genes organised in a functional operon. The sophisticated transcriptional regulation mechanism that controls the expression of these two genes was also defined. The two DsbA proteins, named PhDsbA and PhDsbA2, respectively, were expressed in Escherichia coli and characterized. Results reported in this paper provide some insights into disulfide bonds formation in a micro organism isolated in the Antarctic sea water.</t>
  </si>
  <si>
    <t>Univ Naples Federico II, Dipartimento Chim Organ &amp; Biochim, I-80126 Naples, Italy; Univ Naples Federico II, Fac Sci Biotecnol, Naples, Italy; CEA, Direct Sci Vivant, DIEP, SBTN, Bagnols Sur Ceze, France</t>
  </si>
  <si>
    <t>University of Naples Federico II; University of Naples Federico II; CEA</t>
  </si>
  <si>
    <t>Univ Naples Federico II, Dipartimento Chim Organ &amp; Biochim, Complesso Univ Monte St Angelo,Via Cynthia, I-80126 Naples, Italy.</t>
  </si>
  <si>
    <t>anduilio@unina.it</t>
  </si>
  <si>
    <t>Doti, Nunzianna/ABC-9948-2020; Doti, Nunzianna/D-3408-2012; Madonna, stefania/AAC-3381-2022; TUTINO, MARIA LUISA/L-1834-2013</t>
  </si>
  <si>
    <t>SANNIA, Giovanni/0000-0002-7986-6223; Tutino, Maria Luisa/0000-0002-4978-6839; DUILIO, Angela/0000-0002-6833-1303; BIROLO, Leila/0000-0002-0915-7501</t>
  </si>
  <si>
    <t>SPRINGER JAPAN KK</t>
  </si>
  <si>
    <t>SHIROYAMA TRUST TOWER 5F, 4-3-1 TORANOMON, MINATO-KU, TOKYO, 105-6005, JAPAN</t>
  </si>
  <si>
    <t>1433-4909</t>
  </si>
  <si>
    <t>10.1007/s00792-005-0470-3</t>
  </si>
  <si>
    <t>016GA</t>
  </si>
  <si>
    <t>WOS:000235607500005</t>
  </si>
  <si>
    <t>Anderson, B; Mackintosh, A</t>
  </si>
  <si>
    <t>Temperature change is the major driver of late-glacial and Holocene glacier fluctuations in New Zealand</t>
  </si>
  <si>
    <t>Younger Dryas; Little Ice Age; Southern Hemisphere; New Zealand; glaciers</t>
  </si>
  <si>
    <t>FRANZ-JOSEF-GLACIER; YOUNGER DRYAS; CLIMATE-CHANGE; LATE PLEISTOCENE; SOUTHERN ALPS; ADVANCE; COLD; SENSITIVITY; VEGETATION; GREENLAND</t>
  </si>
  <si>
    <t>Advance and retreat of temperate glaciers is largely controlled by changes in temperature and precipitation, but the relative importance of these drivers is debated. Numerical modeling of a New Zealand glacier reveals that temperature is the dominant control on glacier length. We find that a glacial advance, dated to ca. 13,000 yr B.P., requires a cooling event of 3-4 degrees C. This mid-latitude Southern Hemisphere cooling is similar in magnitude to the Antarctic Cold Reversal in the Vostok ice core record and likely to be a response to the same climate signal.</t>
  </si>
  <si>
    <t>Victoria Univ Wellington, Antarctic Res Ctr, Wellington, New Zealand; Victoria Univ Wellington, Sch Earth Sci, Wellington, New Zealand</t>
  </si>
  <si>
    <t>Anderson, B (corresponding author), Victoria Univ Wellington, Antarctic Res Ctr, POB 600, Wellington, New Zealand.</t>
  </si>
  <si>
    <t>Brian.Anderson@vuw.ac.nz</t>
  </si>
  <si>
    <t>Mackintosh, Andrew/0000-0002-6430-4711</t>
  </si>
  <si>
    <t>10.1130/G22151.1</t>
  </si>
  <si>
    <t>010US</t>
  </si>
  <si>
    <t>WOS:000235224000015</t>
  </si>
  <si>
    <t>Bye, J; May, J; Simmonds, I</t>
  </si>
  <si>
    <t>Control of the Antarctic ice sheet by ocean-ice interaction</t>
  </si>
  <si>
    <t>Antarctica; Antarctic ice sheet; climate change; sea level</t>
  </si>
  <si>
    <t>LAST GLACIAL MAXIMUM; SEA-LEVEL CHANGES; CLIMATE; FLUCTUATIONS; HISTORY; RECORD; VOLUME; MODEL</t>
  </si>
  <si>
    <t>The Antarctic ice cap is the largest ice sheet of modem times. It is of considerable importance to predict the sea level variability due to the associated changes in ice volume. We present the results of a simple grounded ice sheet model, developed from Oerlemans [Oerlemans, J., 2002. Global dynamics of the Antarctic Ice Sheet, Climate Dynamics 19, 85-93.], in which the net oceanic evaporation influences the ice cap volume in two ways, through changes in: (i) the accumulation rate, and (ii) the mean sea level. The net evaporation changes are driven by the sea surface temperature (SST) anomaly time series of Howard [Howard, WR., 1997. A warm future in the past, Nature, 388, 418-419.] for the subantarctic Southern Ocean over the period 220 kyr to the present. The effect of the waxing and waning of the northern hemisphere ice sheets is integrated into the model using an independent model, in which ice melting depends on the SST anomaly and ice calving depends on the sea level anomaly. A series of analytical expressions are derived for the related properties of the coupled ocean-ice system applicable over time scales of 100 kyr, which show, in particular, that the Antarctic ice cap volume changes are due mainly to the effects of the northern hemisphere ice sheets on sea level (which influences ice calving), rather than directly to changes in SST, and hence the ice cap volume is greatest during interglacial periods. This conclusion, which is independent of the specification of the ice melting regime for the northern hemisphere ice sheets, strongly suggests that the changes in accumulation flux estimated from the Vostok proxy temperature data and used in other studies of the Antarctic mass balance have been overestimated. A simple expression is also presented for the lag of ice cap volume to SST, and it is found that the predictions for the mean sea level variability are similar to observations for a melting flux of the northern hemisphere ice sheets about twice their accumulation flux due to the net oceanic evaporation, except during major deglaciations when these two fluxes appear to be of similar magnitude. (c) 2005 Elsevier B.V. All rights reserved.</t>
  </si>
  <si>
    <t>Univ Melbourne, Sch Earth Sci, Parkville, Vic 3010, Australia</t>
  </si>
  <si>
    <t>University of Melbourne</t>
  </si>
  <si>
    <t>Univ Melbourne, Sch Earth Sci, Parkville, Vic 3010, Australia.</t>
  </si>
  <si>
    <t>jbye@unimelb.edu.au</t>
  </si>
  <si>
    <t>Simmonds, Ian/0000-0002-4479-3255</t>
  </si>
  <si>
    <t>10.1016/j.gloplacha.2005.12.001</t>
  </si>
  <si>
    <t>027GJ</t>
  </si>
  <si>
    <t>WOS:000236402400007</t>
  </si>
  <si>
    <t>Wang, ZW; Liu, YH; Dai, X; Wang, BJ; Jiang, CY; Liu, SJ</t>
  </si>
  <si>
    <t>Flavobacterium saliperosum sp nov, isolated from freshwater lake sediment</t>
  </si>
  <si>
    <t>ANTARCTIC LAKES; MICROBIAL MATS; BACTERIUM</t>
  </si>
  <si>
    <t>An aerobic, yellow-pigmented, Gram-negative bacterium, designated strain S13(T), was isolated from freshwater sediment of Taihu Lake in central China. The taxonomy of strain S13(T) was studied by using phenotypic and phylogenetic methods. Cells of strain S13(T) were rod-shaped, non-motile and with a size range of 0-35-0-55 x 1-5-2-5 mu m. The nearly complete 16S rRNA gene of strain S13(T) was amplified and sequenced. A BLAST search and phylogenetic analysis based on 16S rRNA gene sequence similarity showed that strain S13(T) was related to members of the genus Flavobacterium, with the highest sequence similarity of 93-8% to Flavobacterium columnare (ATCC 23463(T)). Cells contained menaquinone-6 (MK-6) as the major respiratory quinone and the genomic DNA G+C content was 41 mol%. The major fatty acids were iso-C-15:0 (28.2%) and iso-C(17:1)omega 9C (19.0%). It is proposed that S13(T) (=CGMCC 1.3801(T) = JCM 13331(T)) represents the type strain of a novel species, Flavobacterium saliperosum, sp. nov.</t>
  </si>
  <si>
    <t>Chinese Acad Sci, State Key Lab Microbial Resources, Inst Microbiol, Beijing 100080, Peoples R China</t>
  </si>
  <si>
    <t>Chinese Academy of Sciences; Institute of Microbiology, CAS</t>
  </si>
  <si>
    <t>Chinese Acad Sci, State Key Lab Microbial Resources, Inst Microbiol, Beijing 100080, Peoples R China.</t>
  </si>
  <si>
    <t>shuangjiang@hotmail.com</t>
  </si>
  <si>
    <t>10.1099/ijs.0.64065-0</t>
  </si>
  <si>
    <t>019DN</t>
  </si>
  <si>
    <t>WOS:000235815900022</t>
  </si>
  <si>
    <t>Chshyolkova, T; Manson, AH; Meek, CE; Avery, SK; Thorsen, D; MacDougall, JW; Hocking, W; Murayama, Y; Igarashi, K</t>
  </si>
  <si>
    <t>Planetary wave coupling processes in the middle atmosphere (30-90 km): A study involving MetO and MFR data</t>
  </si>
  <si>
    <t>2nd IAGA/ICMA Workshop on Vertical Coupling in the Atmosphere-Ionosphere System</t>
  </si>
  <si>
    <t>JUL 12-15, 2004</t>
  </si>
  <si>
    <t>Univ Bath, Bath, ENGLAND</t>
  </si>
  <si>
    <t>Univ Bath</t>
  </si>
  <si>
    <t>middle atmosphere dynamics; coupling processes; planetary waves; radar remote sensing; inter-hemispheric coupling</t>
  </si>
  <si>
    <t>SPRINGTIME TRANSITION; MESOSPHERE; VARIABILITY; WINDS; DYNAMICS; AIRGLOW; CUJO</t>
  </si>
  <si>
    <t>The MetO assimilated data and mesospheric winds provided by five medium frequency radars (MFR) from the Canada US Japan Opportunity (CUJO) network have been used to study coupling processes due to planetary waves (PWs) in the middle atmosphere. It is shown that there is strong vertical coupling between the stratosphere and mesosphere especially during winter months. However, not all observed disturbances in mesospheric winds can be explained by the simple propagation of PWs from below. In addition to the vertical coupling there is also weaker horizontal inter-hemispheric coupling during equinoxes. The data used are from December 2000 to December 2002. The time interval was chosen to include austral winters and springs of 2 years: the dynamically unusual year 2002, during which a major stratospheric warming involving a split vortex and wind reversals occurred in the Southern Hemisphere, and a more typical year 2001. The character of PW activity during these 2 years is compared. In contrast to the usually weak PW activity dominated by eastward motions, both strong eastward and westward propagating waves existed during austral winter of 2002. Wavelet spectra of MetO winds show strong peaks near 14 days that match similar signals observed in mesospheric winds at Antarctic stations [Dowdy et al., 2004. The large-scale dynamics of the mesosphere-lower thermosphere during the SH stratospheric warming of 2002. Geophysical Research Letters 31, L14102. doi:10.1029/2004GLO20282] during the stratospheric warming. It is suggested that this oscillation was generated at low atmospheric heights and propagated upward. The longer duration of the stratospheric-mesospheric winter vortex (7 months) compared to that of the summer jet in the Northern Hemisphere provide equinoctial months when eastward winds dominate globally. Results suggest that during equinoxes, with favourable conditions, the PWs with similar to 10-, 16- and 25-day periods can penetrate to the opposite hemisphere. (c) 2005 Elsevier Ltd. All rights reserved.</t>
  </si>
  <si>
    <t>Univ Saskatchewan, Inst Space &amp; Atmospher Studies, Saskatoon, SK S7N 5E2, Canada; Univ Colorado, CIRES, Boulder, CO 80309 USA; Univ Alaska, Dept Elect &amp; Comp Engn, Fairbanks, AK 99775 USA; Univ Western Ontario, Dept Phys &amp; Astron, London, ON N6A 3K7, Canada; Natl Inst Informat &amp; Commun Technol, Tokyo, Japan</t>
  </si>
  <si>
    <t>University of Saskatchewan; University of Colorado System; University of Colorado Boulder; University of Alaska System; University of Alaska Fairbanks; Western University (University of Western Ontario); National Institute of Information &amp; Communications Technology (NICT) - Japan</t>
  </si>
  <si>
    <t>Univ Saskatchewan, Inst Space &amp; Atmospher Studies, 116 Sci Pl, Saskatoon, SK S7N 5E2, Canada.</t>
  </si>
  <si>
    <t>t.sch@usask.ca</t>
  </si>
  <si>
    <t>Murayama, Yasuhiro/ABF-1698-2020</t>
  </si>
  <si>
    <t>Murayama, Yasuhiro/0000-0003-1129-334X</t>
  </si>
  <si>
    <t>3-5</t>
  </si>
  <si>
    <t>10.1016/j.jastp.2005.05.011</t>
  </si>
  <si>
    <t>026AQ</t>
  </si>
  <si>
    <t>WOS:000236309500010</t>
  </si>
  <si>
    <t>Morris, RJ; Murphy, DJ; Vincent, RA; Holdsworth, DA; Klekociuk, AR; Reid, IM</t>
  </si>
  <si>
    <t>Characteristics of the wind, temperature and PMSE field above Davis, Antarctica</t>
  </si>
  <si>
    <t>VHF radar; PMSE; mesosphere; temperature; Antarctica</t>
  </si>
  <si>
    <t>MESOSPHERE SUMMER ECHOES; VHF RADAR OBSERVATIONS; POLAR MESOSPHERE; NOCTILUCENT CLOUDS; LOWER THERMOSPHERE; POKER FLAT; SPHERE</t>
  </si>
  <si>
    <t>Polar Mesosphere Summer Echoes (PMSE) were detected above the high-latitude station Davis, Antarctica (68.6 degrees S) using a 55 MHz atmospheric radar during the 2003-2004 austral summer. In this paper, we examine the characteristics of southern hemisphere PMSE events observed during the interval 19 November to 16 February 2004. Coincident satellite-SABER temperature measurements and ground-VHF radar backscatter observations revealed that PMSE existed for mesosphere temperatures in the range similar to 124.4-134.7 K. An examination of the horizontal wind field using collocated VHF and MF radar measurements showed that PMSE also occurred during conditions of westward zonal winds and equatorward meridional winds. A remarkable correlation was evident between the onset (end) of the austral summer PMSE season and equatorward (poleward) flowing meridional mesospheric winds observed for the 19 November 2003 (16 February 2004), respectively. We present evidence of a semidiurnal influence of the meridional and zonal tides on the occurrence, intensity, and altitude of PMSE events. The effects of tidal, gravity and planetary waves on PMSE events are also considered. (c) 2005 Elsevier Ltd. All rights reserved.</t>
  </si>
  <si>
    <t>Australian Antarctic Div, Kingston, Tas 7050, Australia; Univ Adelaide, Adelaide, SA 5005, Australia; Thebarton, Atmospher Radar Syst, Des Moines, IA 50311 USA</t>
  </si>
  <si>
    <t>Australian Antarctic Division; University of Adelaide</t>
  </si>
  <si>
    <t>ray.morris@aad.gov.au</t>
  </si>
  <si>
    <t>Reid, Iain/B-5681-2012; Vincent, Robert A/E-5450-2013; Klekociuk, Andrew/A-4498-2015</t>
  </si>
  <si>
    <t>Reid, Iain/0000-0003-2340-9047; Vincent, Robert A/0000-0001-6559-6544; Klekociuk, Andrew/0000-0003-3335-0034</t>
  </si>
  <si>
    <t>10.1016/j.jastp.2005.04.011</t>
  </si>
  <si>
    <t>WOS:000236309500015</t>
  </si>
  <si>
    <t>Hibbins, RE; Espy, PJ; Jarvis, MJ</t>
  </si>
  <si>
    <t>Mean winds and tides in the mesosphere and lower thermosphere above Halley, Antarctica</t>
  </si>
  <si>
    <t>IDI; mesosphere; polar; winds; waves</t>
  </si>
  <si>
    <t>IMAGING DOPPLER INTERFEROMETER; ARCTIC MESOSPHERE; SOUTH-POLE; SEMIDIURNAL TIDE; METEOR RADAR; DYNAMICS; REGIONS; WAVE; OSCILLATION; ATMOSPHERE</t>
  </si>
  <si>
    <t>An imaging Doppler interferometer (IDI) at Halley, Antarctica (76 degrees S, 26 degrees W) has been used to record near continuous mean winds in the mesosphere/lower thermosphere since December 1996. Monthly mean winds are calculated between 75 and 105 km for comparison with the HWM93 model winds. Below 95 km the zonal mean winds are 5-10 ms(-1) eastward weakening to 0ms(-1) in summertime. Between 95 and 105km a wintertime eastward wind (0-5ms(-1)) strengthens to 17ms(-1) in summer. Above 95km the meridional wind is northward (5-10ms(-1)) in winter turning strongly southward (11 ms(-1)) in summertime, with weaker northward winds below this strengthening around equinox. Excellent agreement is found between the IDI-measured zonal winds and the model except for mid-summer when the model winds between 75 and 95 km are much stronger westwards than those observed. IDI meridional winds are found to agree well with the model across the entire height range in mid-summer and mid-winter with a bias of around 8 ms(-1) northwards found around the equinoxes. A wavelet analysis of the entire data set shows the inter- and intra-annual variation in waves with periods between 12 It and 30 days as well as their relative strength as a function of height between 75 and 105 km. Strong 12 and 24 h components are observed in both the zonal and meridional winds increasing in amplitude with height and peaking in summer. The phase of the 24 h wave is seen to vary from one year to the next though on average it is evanescent during the summer months with increased phase scatter during winter. The 12 h wave is vertically propagating all seasons and demonstrates a strong phase transition around equinox in both the zonal and meridional components. The nature of the 12 h wave is more consistent with that seen at South Pole and Scott Base/McMurdo than at lower latitudes suggesting that the non-migrating zonal wavenumber s = 112 h wave extends at least 15 degrees north of pole in the southern hemisphere. (c) 2005 Elsevier Ltd. All rights reserved.</t>
  </si>
  <si>
    <t>British Antarctic Survey, Div Phys Sci, Cambridge CB3 0ET, England</t>
  </si>
  <si>
    <t>British Antarctic Survey, Div Phys Sci, Cambridge CB3 0ET, England.</t>
  </si>
  <si>
    <t>rehi@bas.ac.uk</t>
  </si>
  <si>
    <t>Hibbins, Robert/0000-0002-6867-2255</t>
  </si>
  <si>
    <t>Natural Environment Research Council [bas010005] Funding Source: researchfish; NERC [bas010005] Funding Source: UKRI</t>
  </si>
  <si>
    <t>10.1016/j.jastp.2005.02.030</t>
  </si>
  <si>
    <t>WOS:000236309500016</t>
  </si>
  <si>
    <t>Xie, XL; Gong, M; Chen, QX</t>
  </si>
  <si>
    <t>Inhibition kinetics of hydrogen peroxide on β-N-acetyl-D-glucosaminidase from prawn (Penaeus vannamei)</t>
  </si>
  <si>
    <t>JOURNAL OF ENZYME INHIBITION AND MEDICINAL CHEMISTRY</t>
  </si>
  <si>
    <t>Penaeus vannamei; beta-N-acetyl-D-glucosaminidase; inhibition kinetics; hydrogen peroxide; conformation; activity</t>
  </si>
  <si>
    <t>CRAB SCYLLA-SERRATA; ALKALINE-PHOSPHATASE; ANTARCTIC KRILL; INACTIVATION; PURIFICATION; GLUCOSIDASE; EXPRESSION; CLONING</t>
  </si>
  <si>
    <t>The effects of hydrogen peroxide (H2O2) on prawn NAGase activity for the hydrolysis of pNP-beta-D-GlcNAc have been studied. The results show that H2O2 can reversible inhibit the enzyme (IC50 similar or equal to 0.85 M) and the inhibition is of a mixed type. The kinetics show that k(+0) is much larger than k'(+0), indicating the free enzyme is more susceptible than the enzyme-substrate complex in the H2O2 solution. It is suggested that the presence of the substrate offers marked protection against inhibition by H2O2. Changes of activity and conformation of the enzyme in different concentrations of H2O2 have been compared by measuring the fluorescence spectra and residual activity and show that the change of conformation is more rapidly than that of the residual activity, which implies that the whole conformation of the enzyme changes more rapidly than the conformation of the active centre of the enzyme in the H2O2 solution.</t>
  </si>
  <si>
    <t>Xiamen Univ, Key Lab Minist Educ Cell Biol &amp; Tumor Cell Engn, Sch Life Sci, Dept Biochem &amp; Biotechnol, Xiamen 361005, Peoples R China; Quanzhou Normal Univ, Dept Chem, Fujian 362011, Peoples R China</t>
  </si>
  <si>
    <t>Xiamen University; Quanzhou Normal University</t>
  </si>
  <si>
    <t>Chen, QX (corresponding author), Xiamen Univ, Key Lab Minist Educ Cell Biol &amp; Tumor Cell Engn, Sch Life Sci, Dept Biochem &amp; Biotechnol, Xiamen 361005, Peoples R China.</t>
  </si>
  <si>
    <t>chenqx@jingxian.xmu.edu.cn</t>
  </si>
  <si>
    <t>Chen, QX/G-4600-2010</t>
  </si>
  <si>
    <t>1475-6366</t>
  </si>
  <si>
    <t>1475-6374</t>
  </si>
  <si>
    <t>J ENZYM INHIB MED CH</t>
  </si>
  <si>
    <t>J. Enzym. Inhib. Med. Chem.</t>
  </si>
  <si>
    <t>10.1080/14756360500148791</t>
  </si>
  <si>
    <t>Biochemistry &amp; Molecular Biology; Chemistry, Medicinal</t>
  </si>
  <si>
    <t>Biochemistry &amp; Molecular Biology; Pharmacology &amp; Pharmacy</t>
  </si>
  <si>
    <t>023SM</t>
  </si>
  <si>
    <t>WOS:000236146500008</t>
  </si>
  <si>
    <t>Lee, RE; Elnitsky, MA; Rinehart, JP; Hayward, SAL; Sandro, LH; Denlinger, DL</t>
  </si>
  <si>
    <t>Rapid cold-hardening increases the freezing tolerance of the Antarctic midge Belgica antarctica</t>
  </si>
  <si>
    <t>rapid cold-hardening; freezing tolerance; Chironomidae; Belgica antarctica</t>
  </si>
  <si>
    <t>PRINGLEOPHAGA-MARIONI LEPIDOPTERA; LOW-TEMPERATURE ACCLIMATION; MEMBRANE-LIPID-COMPOSITION; GALL FLY LARVA; DROSOPHILA-MELANOGASTER; EUROSTA-SOLIDAGINIS; SHOCK INJURY; FLESH FLY; TERRESTRIAL INVERTEBRATES; INTERMEDIARY METABOLISM</t>
  </si>
  <si>
    <t>Rapid cold-hardening (RCH) is well known to increase the tolerance of chilling or cold shock in a diverse array of invertebrate systems at both organismal and cellular levels. Here, we report a novel role for RCH by showing that RCH also increases freezing tolerance in an Antarctic midge, Belgica antarctica (Diptera, Chironomidae). The RCH response of B. antarctica was investigated under two distinct physiological states: summer acclimatized and cold acclimated. Summer-acclimatized larvae were less cold tolerant, as indicated by low survival following exposure to -10 degrees C for 24 h; by contrast, nearly all coldacclimated larvae survived -10 degrees C, and a significant number could survive -15 degrees C. Cold-acclimated larvae had higher supercooling points than summer larvae. To evaluate the RCH response in summer-acclimatized midges, larvae and adults, maintained at 4 degrees C, were transferred to -5 degrees C for 1 h prior to exposures to -10, -15 or -20 degrees C. RCH significantly increased survival of summer-acclimatized larvae frozen at -10 degrees C for 1 h compared with larvae receiving no cold-hardening treatment, but adults, which live for only a week or so in the austral summer, lacked the capacity for RCH. In coldacclimated larvae, RCH significantly increased freeze tolerance to both -15 and -20 degrees C. Similarly, RCH significantly increased cellular survival of fat body, Malpighian tubules and gut tissue from cold-acclimated larvae frozen at -20 degrees C for 24 h. These results indicate that RCH not only protects against non-freezing injury but also increases freeze tolerance.</t>
  </si>
  <si>
    <t>Miami Univ, Dept Zool, Oxford, OH 45056 USA; Ohio State Univ, Dept Entomol, Columbus, OH 43210 USA; Univ Liverpool, Sch Biol Sci, Liverpool L69 7ZB, Merseyside, England</t>
  </si>
  <si>
    <t>University System of Ohio; Miami University; University System of Ohio; Ohio State University; University of Liverpool</t>
  </si>
  <si>
    <t>Miami Univ, Dept Zool, Oxford, OH 45056 USA.</t>
  </si>
  <si>
    <t>leere@muohio.edu</t>
  </si>
  <si>
    <t>Hayward, Scott/0000-0002-1899-6630</t>
  </si>
  <si>
    <t>COMPANY OF BIOLOGISTS LTD</t>
  </si>
  <si>
    <t>BIDDER BUILDING CAMBRIDGE COMMERCIAL PARK COWLEY RD, CAMBRIDGE CB4 4DL, CAMBS, ENGLAND</t>
  </si>
  <si>
    <t>10.1242/jeb.02001</t>
  </si>
  <si>
    <t>018VS</t>
  </si>
  <si>
    <t>WOS:000235793500011</t>
  </si>
  <si>
    <t>Cziko, PA; Evans, CW; Cheng, CHC; DeVries, AL</t>
  </si>
  <si>
    <t>Freezing resistance of antifreeze-deficient larval Antarctic fish</t>
  </si>
  <si>
    <t>Notothenioidei; Bathydraconidae; Nototheniidae; antifreeze glycoprotein; antifreeze potentiating protein; development; gills; mitochondrial NADH dehydrogenase subunit 2; temperature logging</t>
  </si>
  <si>
    <t>EELPOUT ZOARCES-VIVIPARUS; NOTOTHENIOID FISH; GYMNODRACO-ACUTICEPS; SURFACE-STRUCTURE; INTESTINAL FLUID; MCMURDO SOUND; POLAR FISHES; ROSS SEA; EGGS; ICE</t>
  </si>
  <si>
    <t>Antarctic notothenioids, along with many other polar marine fishes, have evolved biological antifreeze proteins (AFPs) to survive in their icy environments. The larvae of Antarctic notothenioid fish hatch into the same frigid environment inhabited by the adults, suggesting that they must also be protected by sufficient AFPs, but this has never been verified. We have determined the contribution of AFPs to the freezing resistance of the larvae of three species: Gymnodraco acuticeps, Pagothenia borehgrevinki and Pleuragramina antarcticum. Of the three, only P. borchgrevinki larvae are protected by high, adult levels of AFPs. Hatchling G. acuticeps and P. autarcticum have drastically inadequate AFP concentrations to avoid freezing at the ambient seawater temperature (-1.91 degrees C). We raised G. acuticeps larvae and measured the AFP levels in their blood for similar to 5 months post hatching. Larval serum freezing point was -1.34 +/- 0.04 degrees C at the time of hatch; it began to decrease only after 30 days post hatch (d.p.h.), and finally reached the adult value (-2.61 +/- 0.03 degrees C) by 147 d.p.h. Additionally, AFP concentrations in their intestinal fluids were very low at hatching, and did not increase with age throughout a sampling period of 84 d.p.h. Surviving in a freezing environment without adequate AFP protection suggests that other mechanisms of larval freezing resistance exist. Accordingly, we found that G. acuticeps hatchlings survived to -3.6 +/- 0.1 degrees C while in contact with external ice, but only survived to -1.5 +/- 0.0 degrees C when ice was artificially introduced into their tissues. P. antarcticum larvae were similarly resistant to organismal freezing. The gills of all three species were found to be underdeveloped at the time of hatch, minimizing the risk of ice introduction through these delicate structures. Thus, an intact integument, underdeveloped gill structures and other physical barriers to ice propagation may contribute significantly to the freezing resistance and survival of these larval fishes in the icy conditions of the Southern Ocean.</t>
  </si>
  <si>
    <t>Univ Illinois, Dept Anim Biol, Urbana, IL 61801 USA.</t>
  </si>
  <si>
    <t>10.1242/jeb.02008</t>
  </si>
  <si>
    <t>WOS:000235793500012</t>
  </si>
  <si>
    <t>Cardoso, JCR; Vieira, F; Clark, MS; Power, DM</t>
  </si>
  <si>
    <t>Putative ancestral receptor genes of vertebrate family 2 GPCR in the invertebrate genome of the nematode Caenorhabditis elegans</t>
  </si>
  <si>
    <t>15th International Congress of Comparative Endocrinology</t>
  </si>
  <si>
    <t>MAY 22-27, 2005</t>
  </si>
  <si>
    <t>Boston, MA</t>
  </si>
  <si>
    <t>iccardo@ualg.pt</t>
  </si>
  <si>
    <t>dos Reis Cardoso, Joao Carlos/M-4151-2013; Clark, Melody/D-7371-2014</t>
  </si>
  <si>
    <t>dos Reis Cardoso, Joao Carlos/0000-0001-7890-0170; Clark, Melody/0000-0002-3442-3824</t>
  </si>
  <si>
    <t>FEB 1</t>
  </si>
  <si>
    <t>012MX</t>
  </si>
  <si>
    <t>WOS:000235344400035</t>
  </si>
  <si>
    <t>Nunney, L; Schuenzel, EL</t>
  </si>
  <si>
    <t>Detecting natural selection at the molecular level: A reexamination of some classic examples of adaptive evolution</t>
  </si>
  <si>
    <t>JOURNAL OF MOLECULAR EVOLUTION</t>
  </si>
  <si>
    <t>positive selection; d(N)/d(S) lysozyme; alpha-globin; beta-globin; lysin</t>
  </si>
  <si>
    <t>CODON-SUBSTITUTION MODELS; POSITIVE SELECTION; NUCLEOTIDE SUBSTITUTION; STATISTICAL-METHODS; GENERATION TIME; TESTS; RATIO; PHYLOGENIES; SEQUENCES; ACCURACY</t>
  </si>
  <si>
    <t>An important criterion used to detect adaptive evolution in DNA sequence data is omega(i) &gt; 1, where omega(i) is the ratio of nonsynonymous to synonymous substitution rates in lineage i. However, the evaluation of multiple omega(i) within a phylogenetic tree can easily inflate the statistical type I error rate. We developed two rigorous methods of analysis that avoid this and other potential pitfalls. We applied these methods to four published examples of adaptive evolution. One case was strongly supported by our reanalysis (abalone sperm lysin), and one was weakly supported (baboon alpha-globin), but two examples (primate lysozyme and Antarctic fish beta-globin) did not show significant evidence of adaptive evolution. Our first method is a bottom-up hierarchical maximum likelihood approach, which (1) tests for significant heterogeneity in omega across the phylogeny, (2) locates its source using a sequence of planned comparisons, and (3) tests homogeneous groups of omega for omega &gt; 1, using a modified level of significance that incorporates the pretesting. The second method is a top-down log-linear analysis based on estimates of nonsynonymous and synonymous substitutions in pairs of lineages. The log-linear test is applied to pairs of lineages joined at progressively deeper nodes. For each pair, the analysis simultaneously tests for adaptive evolution (omega &gt; 1), a shift in natural selection (omega(1) not equal omega(2)), and unequal evolution rate (the relative rate test). In both tests, we emphasized that the criterion omega(1) not equal omega(2) is an important additional indicator of a phylogenetic shift in the balance between natural selection and genetic drift between two related lineages.</t>
  </si>
  <si>
    <t>Univ Calif Riverside, Dept Biol, Riverside, CA 92521 USA</t>
  </si>
  <si>
    <t>University of California System; University of California Riverside</t>
  </si>
  <si>
    <t>Nunney, L (corresponding author), Univ Calif Riverside, Dept Biol, Riverside, CA 92521 USA.</t>
  </si>
  <si>
    <t>Leonard.Nunney@ucr.edu</t>
  </si>
  <si>
    <t>Nunney, Leonard/AFA-4215-2022</t>
  </si>
  <si>
    <t>Nunney, Leonard/0000-0002-4315-3694</t>
  </si>
  <si>
    <t>0022-2844</t>
  </si>
  <si>
    <t>1432-1432</t>
  </si>
  <si>
    <t>J MOL EVOL</t>
  </si>
  <si>
    <t>J. Mol. Evol.</t>
  </si>
  <si>
    <t>10.1007/s00239-004-0334-y</t>
  </si>
  <si>
    <t>019WB</t>
  </si>
  <si>
    <t>WOS:000235866300006</t>
  </si>
  <si>
    <t>Smith, JA; Hodgson, DA; Bentley, MJ; Verleyen, E; Leng, MJ; Roberts, SJ</t>
  </si>
  <si>
    <t>Limnology of two antarctic epishelf lakes and their potential to record periods of ice shelf loss</t>
  </si>
  <si>
    <t>JOURNAL OF PALEOLIMNOLOGY</t>
  </si>
  <si>
    <t>Antarctic Limnology; diatoms; epishelf lakes; ice shelf collapse; isotopes; sediment traps</t>
  </si>
  <si>
    <t>MCMURDO DRY VALLEYS; FRESH-WATER DIATOMS; BUNGER HILLS OASIS; HOLOCENE HISTORY; EAST ANTARCTICA; AMERY OASIS; BREAK-UP; DISSOLUTION; SEDIMENTS; SILICA</t>
  </si>
  <si>
    <t>George VI Ice Shelf is the largest ice shelf on the western side of the Antarctic Peninsula and its northern margin marks the southern most latitudinal limit of recent ice shelf retreat. As part of a project to reconstruct the long-term (Holocene) history of George VI Ice Shelf we studied two epishelf lakes impounded by the ice shelf at Ablation Point, on the east coast of Alexander Island. These lakes, Moutonnee and Ablation, are stratified water bodies with a lower marine layer and an upper freshwater layer. To determine if their sediment records could be used to detect past changes in the presence or absence of the ice shelf it was necessary to describe their present-day limnology and sedimentology. We measured water column chemistry and sampled the water column and sediments of the lakes along vertical and horizontal transects. We analysed these samples for diatoms, stable isotopes (delta O-18, delta H-2, delta C-13(DIC), delta C-13(org)), geochemistry (TOC, TN, C/N ratios) and physical sedimentology (grain-size). This was supplemented by chemical and biological reference data from the catchments. Results showed that the water columns of both lakes are nutrient limited and deficient in phytoplankton. Benthic productivity is low and decreases with depth. Comparison of water column chemistry with an earlier survey shows a net increase in the thickness of the freshwater layer in Moutonnee Lake between 1973 and 2001, which could indicate that George VI Ice Shelf has thinned during this period. However, a similar trend was not observed in Ablation Lake (5 km to the north) and an alternative explanation is that the changes are a seasonal phenomena. Data from the surface sediment transects identified a number of proxies that respond to the present day stratification of the water column including diatom species composition, stable isotopes and geochemistry, particularly in Moutonnee Lake. Collectively these data have been used to develop a conceptual model for determining past ice shelf configuration in epishelf lakes. Specifically, periods of past ice shelf loss, and the removal of the ice dam, would see the present stratified epishelf lake replaced by a marine embayment. It is suggested that this change would leave a clear signature in the lake sediment record, notably the deposition of an exclusively marine biological assemblage, increased ice rafted debris and delta C-13(org) values that are indicative of marine derived organic matter.</t>
  </si>
  <si>
    <t>British Antarctic Survey, NERC, Cambridge CB3 0ET, England; Univ Durham, Dept Geog, Durham DH1 3LE, England; Univ Ghent, Protistol &amp; Aquat Ecol, B-9000 Ghent, Belgium; British Geol Survey, Isotope Geosci Lab, Nat Environm Res Council, Keyworth NG12 5GG, Notts, England; Univ Edinburgh, Inst Geog, Sch Geosci, Edinburgh EH8 9XP, Midlothian, Scotland</t>
  </si>
  <si>
    <t>UK Research &amp; Innovation (UKRI); Natural Environment Research Council (NERC); NERC British Antarctic Survey; Durham University; Ghent University; UK Research &amp; Innovation (UKRI); Natural Environment Research Council (NERC); NERC British Geological Survey; University of Edinburgh</t>
  </si>
  <si>
    <t>j.a.smith@durham.ac.uk</t>
  </si>
  <si>
    <t>Smith, James A/N-1836-2013; Bentley, Michael J/F-7386-2011</t>
  </si>
  <si>
    <t>Bentley, Michael J/0000-0002-2048-0019; Leng, Melanie/0000-0003-1115-5166; Roberts, Stephen/0000-0003-3407-9127</t>
  </si>
  <si>
    <t>Natural Environment Research Council [bas010016, nigl010001] Funding Source: researchfish; NERC [bas010016, nigl010001] Funding Source: UKRI</t>
  </si>
  <si>
    <t>0921-2728</t>
  </si>
  <si>
    <t>1573-0417</t>
  </si>
  <si>
    <t>J PALEOLIMNOL</t>
  </si>
  <si>
    <t>J. Paleolimn.</t>
  </si>
  <si>
    <t>10.1007/s10933-005-1333-8</t>
  </si>
  <si>
    <t>Environmental Sciences; Geosciences, Multidisciplinary; Limnology</t>
  </si>
  <si>
    <t>Environmental Sciences &amp; Ecology; Geology; Marine &amp; Freshwater Biology</t>
  </si>
  <si>
    <t>004CT</t>
  </si>
  <si>
    <t>WOS:000234730300009</t>
  </si>
  <si>
    <t>Mock, T; Krell, A; Glöckner, G; Kolukisaoglu, Ü; Valentin, K</t>
  </si>
  <si>
    <t>Analysis of expressed sequence tags (ests) from the polar diatom fragilariopsis cylindrus</t>
  </si>
  <si>
    <t>EST; cold acclimation; diatom; gene expression; polar; genome</t>
  </si>
  <si>
    <t>ANTARCTIC SEA-ICE; PROTEIN; GENOME; GENERATION; PROJECT; MOTIFS</t>
  </si>
  <si>
    <t>Analysis of expressed sequence tags (ESTs) was performed to gain insights into cold adaptation in the polar diatom Fragilariopsis cylindrus Grunow. The EST library was generated from RNA isolated 5 days after F. cylindrus cells were shifted from approximately +5 degrees C to -1.8 degrees C. A total of 1376 ESTs were sequenced from a non-normalized cDNA library and assembled into 996 tentative unique sequences. About 27% of the ESTs displayed similarity (tBLASTX, e-value of &lt;= 10(-4)) to predicted proteins in the centric diatom Thalassiosira pseudonana Hasle &amp; Heindal. Eleven additional algae and plant data bases were used for annotation of sequences not covered by Thalassiosira sequences (7%). Most of the ESTs were similar to genes encoding proteins responsible for translation, ribosomal structure, and biogenesis (3%), followed by genes encoding proteins for amino acid transport and metabolism and post-translational modifications. Interestingly, 66% of all the EST sequences from F. cylindrus displayed no similarity (e-value &lt;= 10(-4)) to sequences from the 12 non-redundant databases. Even 6 of the 10 strong to moderately expressed sequences in this EST library could not be identified. Adaptation of F. cylindrus to freezing temperatures of seawater may require a complex protein metabolism and possibly also genes, which were highly expressed but still unknown. However, it could also mean that due to low temperatures, there might have been a stronger pressure to adapt amino acid sequences, making it more difficult to identify these unknown sequences and/or that there are still few protist sequences available for comparison.</t>
  </si>
  <si>
    <t>Alfred Wegener Inst Polar &amp; Marine Res, D-27570 Bremerhaven, Germany; Inst Mol Biotechnol, Genome Anal, D-07745 Jena, Germany; Univ Rostock, Dept Plant Physiol, D-18051 Rostock, Germany</t>
  </si>
  <si>
    <t>Helmholtz Association; Alfred Wegener Institute, Helmholtz Centre for Polar &amp; Marine Research; University of Rostock</t>
  </si>
  <si>
    <t>Univ Washington, Sch Oceanog, Box 357940, Seattle, WA 98195 USA.</t>
  </si>
  <si>
    <t>mockt@u.washington.edu</t>
  </si>
  <si>
    <t>Valentin, Klaus/G-5862-2014; Mock, Thomas/A-3127-2008; Kolukisaoglu, Üner/J-8831-2014; Glöckner, Gernot/A-7800-2010</t>
  </si>
  <si>
    <t>Mock, Thomas/0000-0001-9604-0362; Kolukisaoglu, Üner/0000-0002-8656-5963; Glöckner, Gernot/0000-0002-9061-1061</t>
  </si>
  <si>
    <t>1529-8817</t>
  </si>
  <si>
    <t>10.1111/j.1529-8817.2006.00164.x</t>
  </si>
  <si>
    <t>010TJ</t>
  </si>
  <si>
    <t>WOS:000235220500009</t>
  </si>
  <si>
    <t>Gast, RJ; Moran, DM; Beaudoin, DJ; Blythe, JN; Dennett, MR; Caron, DA</t>
  </si>
  <si>
    <t>Abundance of a novel dinoflagellate phylotype in the Ross Sea, Antarctica</t>
  </si>
  <si>
    <t>Antarctica; molecular phylogeny; novel dinoflagellate; quantitative PCR; ribosomal DNA</t>
  </si>
  <si>
    <t>SPRING-SUMMER TRANSITION; ICE BRINE COMMUNITY; MCMURDO SOUND; DNA; MICROPLANKTON; NANOPLANKTON; PICOPLANKTON; ASSEMBLAGES; DIVERSITY</t>
  </si>
  <si>
    <t>The biodiversity of protistan assemblages present in microhabitats of the Ross Sea, Antarctica, was examined using molecular biological methods to obtain a greater understanding of the genetic diversity present. Sequencing of 18S clone libraries indicated genetically diverse collections of organisms in the water column, ice, and meltwater layer (slush), but a single small subunit ribosomal DNA (srDNA) sequence type dominated clone libraries (&gt; 30%) from seawater and slush samples taken within the ice pack of this ecosystem. The BLAST searches indicated that this dominant clone was derived from a dinoflagellate, and that it shared sequence similarity (97.6%-98.3%) with both Karenia and Karlodinium species. Phylogenetic analyses based on small subunit ribosomal gene sequences supported its placement as a sister group to these taxa, and suggested that it represented a novel genus. The dinoflagellate was successfully recovered in culture, and morphological analyses have shown that it contains chloroplasts, is gymnodinoid, appears not to have thecal plates, and has an apical groove and sulcal structure that confirm its placement as a relative of the Karenia/Karlodinium group. The abundance of this phylotype in natural samples was confirmed by quantitative PCR analyses of water and slush communities, and suggests that this dinoflagellate can be a major constituent of the protistan assemblages of some Antarctic microhabitats of the Ross Sea.</t>
  </si>
  <si>
    <t>Woods Hole Oceanog Inst, Dept Biol, Woods Hole, MA 02543 USA; Univ So Calif, Dept Sci Biol, Los Angeles, CA 90089 USA</t>
  </si>
  <si>
    <t>Woods Hole Oceanographic Institution; University of Southern California</t>
  </si>
  <si>
    <t>Woods Hole Oceanog Inst, Dept Biol, Woods Hole, MA 02543 USA.</t>
  </si>
  <si>
    <t>rgast@whoi.edu</t>
  </si>
  <si>
    <t>Gast, Rebecca J/0000-0003-3875-3975</t>
  </si>
  <si>
    <t>10.1111/j.1529-8817.2006.00183.x</t>
  </si>
  <si>
    <t>WOS:000235220500022</t>
  </si>
  <si>
    <t>Lapeyre, G; Klein, P</t>
  </si>
  <si>
    <t>Dynamics of the upper oceanic layers in terms of surface quasigeostrophy theory</t>
  </si>
  <si>
    <t>POTENTIAL VORTICITY INVERSION; QUASI-GEOSTROPHIC DYNAMICS; FLOW; MOTION; EQUILIBRATION; CYCLOGENESIS; TURBULENCE; DIAGNOSIS; FRAMEWORK; MAPS</t>
  </si>
  <si>
    <t>In this study, the relation between the interior and the surface dynamics for nonlinear baroclinically unstable flows is examined using the concepts of potential vorticity. First, it is demonstrated that baroclinic unstable flows present the property that the potential vorticity mesoscale and submesoscale anomalies in the ocean interior are strongly correlated to the surface density anomalies. Then, using the invertibility of potential vorticity, the dynamics are decomposed in terms of a solution forced by the three-dimensional (3D) potential vorticity and a solution forced by the surface boundary condition in density. It is found that, in the upper oceanic layers, the balanced flow induced only by potential vorticity is strongly anticorrelated with that induced only by the surface density with a dominance of the latter. The major consequence is that the 3D balanced motions can be determined from only the surface density and the characteristics of the basin-scale stratification by solving an elliptic equation. These properties allow for the possibility to reconstruct the 3D balanced velocity field of the upper layers from just the knowledge of the surface density by using a simpler model, that is, an effective surface quasigeostrophic model. All these results are validated through the examination of a primitive equation simulation reproducing the dynamics of the Antarctic Circumpolar Current.</t>
  </si>
  <si>
    <t>IFREMER, Lab Phys Oceans, Plouzane, France</t>
  </si>
  <si>
    <t>Centre National de la Recherche Scientifique (CNRS); Ifremer; Institut de Recherche pour le Developpement (IRD); Universite de Bretagne Occidentale</t>
  </si>
  <si>
    <t>Lapeyre, G (corresponding author), Ecole Normale Super, LMD IPSI, F-75005 Paris, France.</t>
  </si>
  <si>
    <t>glapeyre@lmd.ens.fr</t>
  </si>
  <si>
    <t>Lapeyre, Guillaume/B-8871-2008; Klein, Patrice/M-4279-2015</t>
  </si>
  <si>
    <t>Lapeyre, Guillaume/0000-0001-8187-8971; Klein, Patrice/0000-0002-3089-3896</t>
  </si>
  <si>
    <t>10.1175/JPO2840.1</t>
  </si>
  <si>
    <t>024ES</t>
  </si>
  <si>
    <t>WOS:000236178900001</t>
  </si>
  <si>
    <t>Aiken, CM; England, MH; Reason, CJC</t>
  </si>
  <si>
    <t>Optimal growth of Antarctic Circumpolar Waves</t>
  </si>
  <si>
    <t>SOUTHERN-HEMISPHERE; OCEAN MODEL; PERTURBATION GROWTH; VARIABILITY; CIRCULATION; TEMPERATURE; ATLANTIC; STABILITY; SIGNALS; WIND</t>
  </si>
  <si>
    <t>Generalized stability theory is applied to a simple dynamical model of interannual ocean-atmosphere variability in the southern midlatitudes to determine the perturbations that create the most rapid growth of energy in the system. The model is composed of a barotropic quasigeostrophic atmosphere coupled to a 1.5-layer quasigeostrophic ocean, each linearized about a zonally invariant mean state, and with atmospheric and ocean surface temperature obeying a simple heat balance. Eigenanalysis of the system reveals modes of interannual variability that resemble the so-called Antarctic Circumpolar Wave (ACW), consistent with an earlier analytical study of the system. The optimal excitation of these modes relative to an energy norm is found to be a perturbation almost entirely restricted to the ocean momentum field and is shown to resemble strongly the optimal perturbations in energy for the system. Over interannual time scales most rapid growth is seen in zonal wavenumbers 4-6, despite the fact that the least-damped eigenmodes of the system are of a lower zonal wavenumber. The rapid transient growth in energy occurs by extracting perturbation energy from the mean state through advection of the mean meridional oceanic temperature gradient. This transient growth of high-zonal-wavenumber modes dominates the model's variability when it is forced by noise that is white in space or time. A dominant low-zonal-wavenumber response, consistent with the observed and modeled ACW, occurs only when the forcing is red in space or time, with decorrelation scales greater than 3 yr or 10 000 km. It is concluded that, if the ACW is a coupled mode analogous to that supported in this simple model, then it is excited by other large-scale phenomena such as ENSO rather than by sources of higher-frequency forcing.</t>
  </si>
  <si>
    <t>Univ Cape Town, Dept Oceanog, ZA-7925 Cape Town, South Africa; Univ New S Wales, Sch Math, Ctr Environm Modelling &amp; Predict, Sydney, NSW, Australia</t>
  </si>
  <si>
    <t>University of Cape Town; University of New South Wales Sydney</t>
  </si>
  <si>
    <t>Aiken, CM (corresponding author), Ctr Invest Ecosistemas Patagonia, Bilbao 449, Coyhaique, Chile.</t>
  </si>
  <si>
    <t>aiken@maths.unsw.edu.au</t>
  </si>
  <si>
    <t>England, Matthew/A-7539-2011; Aiken, Christopher/G-3754-2019</t>
  </si>
  <si>
    <t>England, Matthew/0000-0001-9696-2930;</t>
  </si>
  <si>
    <t>10.1175/JPO2856.1</t>
  </si>
  <si>
    <t>WOS:000236178900008</t>
  </si>
  <si>
    <t>Feldstein, SB</t>
  </si>
  <si>
    <t>Dynamical processes of equatorial atmospheric angular momentum</t>
  </si>
  <si>
    <t>POLAR MOTION; EARTHS POLE; EXCITATION; COMPONENTS; OSCILLATIONS; TORQUES; WAVES; BULGE</t>
  </si>
  <si>
    <t>The dynamical processes that drive intraseasonal equatorial atmospheric angular momentum (EAAM) fluctuations are examined with the National Centers for Environmental Prediction-National Center for Atmospheric Research (NCEP-NCAR) reanalysis data. The primary methodology involves the regression of relevant variables including the equatorial bulge, mountain, and friction torques, surface pressure, streamfunction, and outgoing longwave radiation, against the time derivative of the two components and the amplitude of the EAAM vector. The results indicate that the observed 10-day westward rotation of the EAAM vector corresponds to the propagation of a zonal wavenumber-1, antisymmetric, Rossby wave normal mode. Additional findings suggest that fluctuations in the amplitude of the EAAM vector are driven by poleward-propagating Rossby waves excited by the latent heating within equatorial mixed Rossby-gravity waves and also by wave-wave interaction among planetary waves. Both of these processes can induce surface pressure anomalies that amplify the EAAM vector via the equatorial bulge torque. The Antarctic and Greenland mountain torques were found to drive large fluctuations in the amplitude of the EAAM vector. Both the friction torque and wave-zonal-mean flow interaction were shown to dampen the EAAM amplitude fluctuations. A comparison of the EAAM dynamics in the atmosphere with that in an aquaplanct GCM suggests that the mountain torque also drives fluctuations in the phase speed of the atmospheric wave field associated with the EAAM vector, and it confines the wave-wave interaction to planetary scales.</t>
  </si>
  <si>
    <t>Penn State Univ, Earth &amp; Environm Syst Inst, University Pk, PA 16802 USA</t>
  </si>
  <si>
    <t>Pennsylvania Commonwealth System of Higher Education (PCSHE); Pennsylvania State University; Pennsylvania State University - University Park</t>
  </si>
  <si>
    <t>Feldstein, SB (corresponding author), Penn State Univ, Earth &amp; Environm Syst Inst, 2217 Earth Engn Sci Bldg, University Pk, PA 16802 USA.</t>
  </si>
  <si>
    <t>sbf@essc.psu.edu</t>
  </si>
  <si>
    <t>10.1175/JAS3586.1</t>
  </si>
  <si>
    <t>019XG</t>
  </si>
  <si>
    <t>WOS:000235870900009</t>
  </si>
  <si>
    <t>Diju, S; Thamban, M</t>
  </si>
  <si>
    <t>Diju, S.; Thamban, M.</t>
  </si>
  <si>
    <t>Clay mineral and textural variations in the sediments of Chandragiri River, estuary and shallow marine realms off Kasaragod, Kerala</t>
  </si>
  <si>
    <t>JOURNAL OF THE GEOLOGICAL SOCIETY OF INDIA</t>
  </si>
  <si>
    <t>clay mineralogy; texture; estuarine sediment; provenance; Chandragiri river; Kasaragod; Kerala</t>
  </si>
  <si>
    <t>EAST-COAST; CONTINENTAL-SHELF; SURFACE SEDIMENTS; DISTRIBUTIONS; DISPERSAL; DELTA</t>
  </si>
  <si>
    <t>X-ray diffraction and textural studies were carried out on 25 surficial sediments collected from Chandragiri River, estuary and shallow marine areas off the river located in Kasaragod district, Kerala for understanding the provenance of the clay minerals. The riverine sediments are dominated by sandy silt to silty sand, whereas the estuarine sediments consist of clayey silt to silty sand and the shallow marine sediments are dominated by clayey silt. Kaolinite and gibbsite dominate the sediments with minor amounts of illite and smectite with the complete absence of chlorite in all depositional environments, supporting the intense chemical weathering occurring in the study area. Illite is relatively higher in the shallow marine sediments compared to the estuarine and riverine sediments, suggesting the influence of morphological characteristics of clay minerals and hydrodynamic conditions in their lateral distribution. Smectite is subtly and systematically higher in shallow marine environment, which is attributed to the fine size nature of this mineral. Although various processes may redistribute clay minerals within the aquatic systems, it is possible to identify the source rocks and weathering characteristics from the detrital clay mineral studies. The major source rocks contributing towards the clay mineral distribution in the study area are the Precambrian crystalline rocks, laterites and the Tertiary sedimentary formations exposed along the coastal belt.</t>
  </si>
  <si>
    <t>Govt Coll Kasaragod, Dept Geol, Vijayanagar 671123, Kasaragod, India; Natl Ctr Antarctic &amp; Ocean Res, Dept Ocean Dev, Vasco Da Gama 403804, Goa, India</t>
  </si>
  <si>
    <t>Diju, S (corresponding author), Govt Coll Kasaragod, Dept Geol, Vijayanagar 671123, Kasaragod, India.</t>
  </si>
  <si>
    <t>Thamban, Meloth/0000-0003-3379-8189</t>
  </si>
  <si>
    <t>SPRINGER INDIA</t>
  </si>
  <si>
    <t>NEW DELHI</t>
  </si>
  <si>
    <t>7TH FLOOR, VIJAYA BUILDING, 17, BARAKHAMBA ROAD, NEW DELHI, 110 001, INDIA</t>
  </si>
  <si>
    <t>0016-7622</t>
  </si>
  <si>
    <t>0974-6889</t>
  </si>
  <si>
    <t>J GEOL SOC INDIA</t>
  </si>
  <si>
    <t>J. Geol. Soc. India</t>
  </si>
  <si>
    <t>076UK</t>
  </si>
  <si>
    <t>WOS:000239983200007</t>
  </si>
  <si>
    <t>Singh, UK; Tiwari, RK; Singh, SB; Rajan, S</t>
  </si>
  <si>
    <t>Singh, U. K.; Tiwari, R. K.; Singh, S. B.; Rajan, S.</t>
  </si>
  <si>
    <t>Prediction of electrical resistivity structures using artificial neural networks</t>
  </si>
  <si>
    <t>artificial neural network; backpropagation algorithm; VES data; resistivity layer parameters; fresh aquifer; saline aquifer; Barmer district; Rajasthan</t>
  </si>
  <si>
    <t>PATTERN-RECOGNITION; INVERSION</t>
  </si>
  <si>
    <t>The artificial neural network (ANN) technique is, at present, most efficient and modem tool for parameter estimation and inversion of geophysical data. This paper deals with the application of ANN technique for the inversion of vertical electrical resistivity sounding (VES) data obtained from the NNW-SSE part of Barmer district, Rajasthan. The efficiency of ANN technique is tested first on synthetic resistivity data generated from the numerical model and then trained on the actual VES field data. The analyses predict sediment thickness of the order of 172 m at Rawtra (S-15), and indicate that there is possibility of fresh aquifers at all sounding locations along the profile except at Sonadi (S-1). These results match with the depth-resistivity structure obtained by the conventional method. However, the high accuracy and faster ANN imaging system seems to have highly correlated with that of conventional method for mapping the complex subsurface resistivity structures with less ambiguity. These finding also correlate remarkably well with known drilling results and geologic boundaries.</t>
  </si>
  <si>
    <t>Natl Ctr Antarctic &amp; Ocean Res, Vasco Da Gama 403804, Goa, India; Natl Geophys Res Inst, Hyderabad 500007, Andhra Pradesh, India</t>
  </si>
  <si>
    <t>Ministry of Earth Sciences (MoES) - India; National Centre for Polar and Ocean Research (NCPOR); Council of Scientific &amp; Industrial Research (CSIR) - India; CSIR - National Geophysical Research Institute (NGRI)</t>
  </si>
  <si>
    <t>Singh, UK (corresponding author), Natl Ctr Antarctic &amp; Ocean Res, Vasco Da Gama 403804, Goa, India.</t>
  </si>
  <si>
    <t>upendra_ngri@rediffmail.com</t>
  </si>
  <si>
    <t>Rajesh, Rekapalli/AAP-8508-2021; Singh, Sheo Bux/IQV-7159-2023</t>
  </si>
  <si>
    <t>Singh, Sheo Bux/0000-0002-6393-3583</t>
  </si>
  <si>
    <t>WOS:000239983200012</t>
  </si>
  <si>
    <t>Tomikawa, Y; Yoshiki, M; Sato, K</t>
  </si>
  <si>
    <t>A neutral wave observed in the antarctic polar vortex</t>
  </si>
  <si>
    <t>BAROTROPIC INSTABILITY; BAROCLINIC INSTABILITY; PLANETARY-WAVES; GRAVITY-WAVES; SHEAR-FLOW; STRATOSPHERE; ATMOSPHERE; STABILITY</t>
  </si>
  <si>
    <t>An intensive radiosonde observation with time intervals of 3 h was performed in June 2002 at Syowa Station (39.6 degrees E, 69 degrees S) in the Antarctic. A wavelike disturbance with a wave period of 12-15 h, having a nearly barotropic structure was observed above a height of 22 km in the time period of 27-28 June 2002. A result of the hodograph analysis suggests that the short-period disturbance is not due to an inertia-gravity wave. A similar short-period disturbance is observed in the European Centre for Medium-Range Weather Forecasts (ECMWF) operational analysis data. Results of detailed analysis using the ECMWF data show that the short-period disturbance has a horizontal wavelength of about 2000 km, and propagates along a potential vorticity minimum region with a horizontal phase velocity of about 40 m s(-1). This phase velocity is equal to the background horizontal wind velocity at the potential vorticity minimum. A necessary condition for the barotropic instability is locally satisfied at the potential vorticity minimum. However, it is rather appropriate that the short-period disturbance is interpreted as a neutral wave than as an unstable wave in the barotropically unstable background flow. This result implies any unknown mechanism of the suppression of barotropic instability in the locally unstable background flow associated with a disturbed polar vortex.</t>
  </si>
  <si>
    <t>Natl Inst Polar Res, Polar Meteorol &amp; Glaciol Grp, Itabashi Ku, Tokyo 1738515, Japan; Natl Inst Environm Studies, Tsukuba, Ibaraki, Japan</t>
  </si>
  <si>
    <t>Research Organization of Information &amp; Systems (ROIS); National Institute of Polar Research (NIPR) - Japan; National Institute for Environmental Studies - Japan</t>
  </si>
  <si>
    <t>Tomikawa, Y (corresponding author), Natl Inst Polar Res, Polar Meteorol &amp; Glaciol Grp, Itabashi Ku, 1-9-10 Kaga, Tokyo 1738515, Japan.</t>
  </si>
  <si>
    <t>tomikawa@nipr.ac.jp</t>
  </si>
  <si>
    <t>Satoh, Kaoru/P-2047-2015; Tomikawa, Yoshihiro/D-5304-2012; Sato, Kaoru/E-1693-2012</t>
  </si>
  <si>
    <t>Tomikawa, Yoshihiro/0000-0002-5652-3017; Sato, Kaoru/0000-0002-6225-6066</t>
  </si>
  <si>
    <t>10.2151/jmsj.84.97</t>
  </si>
  <si>
    <t>030FI</t>
  </si>
  <si>
    <t>WOS:000236619300007</t>
  </si>
  <si>
    <t>Brierley, AS; Saunders, RA; Bone, DG; Murphy, EJ; Enderlein, P; Conti, SG; Demer, DA</t>
  </si>
  <si>
    <t>Use of moored acoustic instruments to measure short-term variability in abundance of Antarctic krill</t>
  </si>
  <si>
    <t>LIMNOLOGY AND OCEANOGRAPHY-METHODS</t>
  </si>
  <si>
    <t>DOPPLER CURRENT PROFILER; EUPHAUSIA-SUPERBA; INTERANNUAL VARIABILITY; TEMPORAL VARIABILITY; VERTICAL MIGRATION; SEASONAL-VARIATION; MARINE ECOSYSTEM; ELEPHANT ISLAND; SOUTH GEORGIA; SCOTIA SEA</t>
  </si>
  <si>
    <t>Upward-looking acoustic Doppler current profilers (ADCPs) (300 kHz) and echosounders (125 kHz) were deployed on moorings at South Georgia to measure abundance of Antarctic krill continuously over several months. Echoes from krill were identified using the theoretical difference in echo intensity at 300 and 125 kHz and scaled to krill density using target strengths appropriate for krill in the region: krill size was determined from diet samples from furseals and penguins foraging near the moorings. A method using water flow past the moorings was developed to convert time-based acoustic observations of krill to area-based abundance estimates. Flow past the stationary moorings was treated analogously to motion along-track of a research vessel through a nominally stationary body of water during a conventional survey. The moorings thus provide a Eulerian view of variation in krill abundance. This is ecologically instructive for South Georgia, where krill are generally passive drifters on currents and where temporal fluctuations in abundance have significant consequences for krill-dependent predators. Moorings were positioned on routine research vessel survey transects, and validity of the mooring method was assessed by comparison of mooring and vessel observations. Krill density estimates from the moorings were not statistically different from vessel estimates in adjacent time periods. A time series of krill density from a mooring revealed step-changes that were not seen during short-term vessel surveys. Moorings deliver data over time scales that cannot be achieved from research vessels and provide insight on environmental factors associated with variation in krill abundance at South Georgia. Mooring data may aid ecosystem-based management.</t>
  </si>
  <si>
    <t>Univ St Andrews, Gatty Marine Lab, St Andrews KY16 9AJ, Fife, Scotland; British Antarctic Survey, Cambridge CB3 0ET, England; SW Fisheries Sci Ctr, La Jolla, CA USA</t>
  </si>
  <si>
    <t>University of St Andrews; UK Research &amp; Innovation (UKRI); Natural Environment Research Council (NERC); NERC British Antarctic Survey; National Oceanic Atmospheric Admin (NOAA) - USA</t>
  </si>
  <si>
    <t>Univ St Andrews, Gatty Marine Lab, St Andrews KY16 9AJ, Fife, Scotland.</t>
  </si>
  <si>
    <t>, David/ABC-8990-2022; murphy, eugene/GZL-1620-2022; Brierley, Andrew/G-8019-2011</t>
  </si>
  <si>
    <t>, David/0000-0001-5083-8854; Brierley, Andrew/0000-0002-6438-6892</t>
  </si>
  <si>
    <t>1541-5856</t>
  </si>
  <si>
    <t>LIMNOL OCEANOGR-METH</t>
  </si>
  <si>
    <t>Limnol. Oceanogr. Meth.</t>
  </si>
  <si>
    <t>10.4319/lom.2006.4.18</t>
  </si>
  <si>
    <t>031OP</t>
  </si>
  <si>
    <t>WOS:000236714200002</t>
  </si>
  <si>
    <t>Howe, JA; Stoker, MS; Masson, DG; Pudsey, CJ; Morris, P; Larter, RD; Bulat, J</t>
  </si>
  <si>
    <t>Seabed morphology and the bottom-current pathways around Rosemary Bank seamount, northern Rockall Trough, North Atlantic</t>
  </si>
  <si>
    <t>MARINE AND PETROLEUM GEOLOGY</t>
  </si>
  <si>
    <t>Rosemary Bank seamount; multibeam bathymetry; contourites; sediment drift; sediment waves</t>
  </si>
  <si>
    <t>CONTINENTAL-MARGIN; SEDIMENT-DRIFT; OVERFLOW; CHANNEL; WATER</t>
  </si>
  <si>
    <t>Rosemary Bank is a broadly domed and elongate seamount with a diameter of 70 km, Occurring in water depths of between 300 and 2300 m, 120 kin west of the UK mainland in the northern Rockall Trough. Recent multibeam bathymetry and sub-bottom profiles, together with preexisting current meter and CTD data, seismic reflection profiles and seabed core samples were examined in order to evaluate past and present bottom-current pathways and processes. The multibeam data image volcanic parasitic cones, concave slide scars and the terraced slopes of the bank. Bottom-current sedimentation is interpreted as producing a drift-moat complex surrounding the entire seamount and including two sediment wave-fields, developed to the west and east of the bank in water depths of 1500-2000 m. The western drift covers an area of over 1000 km(2). Sediment waves to the west of the bank are up to 150 m high with wave lengths of 1.5-2 km. Four 100 m deep, 3 km wide, linear depressions, bisect the waves and are interpreted as 25-30 km long extensions of the moat. Seismic reflection profiles show the main phase of drift construction was during the mid-Miocene to Pliocene with the Pliocene to Holocene being an interval of drift maintenance. Cores from sediments draping over and adjacent to the seamount contain sandy and gravelly contourites interbedded with hemipelagites of late Pleistocene to Holocene age. Current meter and CTD data from the western moat indicate Labrador Sea Water flowing northwest, in contrast to the previously assumed anticlockwise circulation pattern around the seamount. (c) 2005 Elsevier Ltd. All rights reserved.</t>
  </si>
  <si>
    <t>Scottish Assoc Marine Sci, Dunstaffnage Marine Lab, Oban PA37 1QA, Argyll, Scotland; British Geol Survey, Edinburgh EH9 3LA, Midlothian, Scotland; Southampton Oceanog Ctr, Southampton SO14 3ZH, Hants, England; British Antarctic Survey, Cambridge CB3 0ET, England</t>
  </si>
  <si>
    <t>UHI Millennium Institute; UK Research &amp; Innovation (UKRI); Natural Environment Research Council (NERC); NERC British Geological Survey; University of Southampton; NERC National Oceanography Centre; UK Research &amp; Innovation (UKRI); Natural Environment Research Council (NERC); NERC British Antarctic Survey</t>
  </si>
  <si>
    <t>Scottish Assoc Marine Sci, Dunstaffnage Marine Lab, Oban PA37 1QA, Argyll, Scotland.</t>
  </si>
  <si>
    <t>jaho@sams.ac.uk</t>
  </si>
  <si>
    <t>Masson, Douglas/AAR-9436-2020</t>
  </si>
  <si>
    <t>Larter, Robert/0000-0002-8414-7389; Stoker, Martyn/0000-0002-5314-0950</t>
  </si>
  <si>
    <t>NERC [bas010008, soc010003, bas010020, bgs03002] Funding Source: UKRI; Natural Environment Research Council [bas010008, bgs03002, bas010020, soc010003] Funding Source: researchfish</t>
  </si>
  <si>
    <t>0264-8172</t>
  </si>
  <si>
    <t>1873-4073</t>
  </si>
  <si>
    <t>MAR PETROL GEOL</t>
  </si>
  <si>
    <t>Mar. Pet. Geol.</t>
  </si>
  <si>
    <t>10.1016/j.marpetgeo.2005.08.003</t>
  </si>
  <si>
    <t>017NV</t>
  </si>
  <si>
    <t>WOS:000235701200002</t>
  </si>
  <si>
    <t>Hughes, AD; Kelly, MS; Barnes, DKA; Catarino, AI; Black, KD</t>
  </si>
  <si>
    <t>The dual functions of sea urchin gonads are reflected in the temporal variations of their biochemistry</t>
  </si>
  <si>
    <t>FATTY-ACID-COMPOSITION; REPRODUCTIVE-CYCLE; PARACENTROTUS-LIVIDUS; PSAMMECHINUS-MILIARIS; CONTRASTING HABITATS; FEEDING ECOLOGY; SOUTH COAST; LIPID CLASS; ECHINODERMATA; MARINE</t>
  </si>
  <si>
    <t>Fatty acid analyses are emerging as a powerful technique to probe trophic interactions between organisms. In this paper, the application of both this procedure and gonad index (GI) determination on two populations (intertidal and subtidal) of the echinoid Psammechinus miliaris is reported. The investigation spanned the 3-month spawning period of Scottish west coast populations. In both populations a progressive decrease in the GI was found, coupled with an increasing maturity stage (from mature to spent). Sexual maturation and decrease in GI was synchronous between the two populations. In conjunction, there were distinct changes in gonad biochemistry. Differences in the fatty acid composition of the gonad reflected the changes in sexual maturation. Mature males and females had significant differences in the fatty acid composition of their gonads, whereas post-spawned individuals showed no gender differences. Male urchins had higher levels of polyunsaturated fatty acids (PUFAs) compared to females, and there was a dramatic reduction in the fatty acids 22:6(n-3) and 20:5(n-3) with increasing maturity stage. Using multivariate statistical techniques, these changes in the fatty acid composition of the sea urchin gonad were linked to habitat related diet differences combined with gender differences. These changes in the fatty acid signatures clearly reflect the dual function of the gonad as both a nutrient store and a reproductive organ.</t>
  </si>
  <si>
    <t>Scottish Assoc Marine Sci, Oban PA37 1QA, Argyll, Scotland; British Antarctic Survey, NERC, Div Biol Sci, Cambridge CB3 0ET, England; Univ Lisbon, Fac Ciencias, P-1149016 Lisbon, Portugal</t>
  </si>
  <si>
    <t>UHI Millennium Institute; UK Research &amp; Innovation (UKRI); Natural Environment Research Council (NERC); NERC British Antarctic Survey; Universidade de Lisboa</t>
  </si>
  <si>
    <t>Hughes, AD (corresponding author), Scottish Assoc Marine Sci, Oban PA37 1QA, Argyll, Scotland.</t>
  </si>
  <si>
    <t>adam.hughes@sams.ac.uk</t>
  </si>
  <si>
    <t>Hughes, Adam D/J-7867-2013; Black, Kenneth/GXV-2598-2022; Black, Kenneth D/A-7089-2010; C, A/J-9863-2014; Hughes, Adam D/L-1088-2016</t>
  </si>
  <si>
    <t>C, A/0000-0002-8796-0869;</t>
  </si>
  <si>
    <t>10.1007/s00227-005-0124-0</t>
  </si>
  <si>
    <t>008RO</t>
  </si>
  <si>
    <t>WOS:000235058600009</t>
  </si>
  <si>
    <t>Trevena, AJ; Jones, GB</t>
  </si>
  <si>
    <t>Dimethylsulphide and dimethylsulphoniopropionate in Antarctic sea ice and their release during sea ice melting</t>
  </si>
  <si>
    <t>dimethylsulphide; dimethylsulphoniopropionate sea ice; ice melting</t>
  </si>
  <si>
    <t>DIMETHYLSULFONIOPROPIONATE DMSP; EASTERN ANTARCTICA; SOUTHERN-OCEAN; ALGAL PIGMENTS; MARINE-ALGAE; WEDDELL SEA; ELLIS FJORD; ROSS SEA; PHYTOPLANKTON; SULFIDE</t>
  </si>
  <si>
    <t>This study presents concentrations of dimethylsulphide (DMS) and its precursor compound dimethylsulphoniopropionate (DMSP) in a variety of sea ice and seawater habitats in the Antarctic Sea Ice Zone (ASIZ) during spring and summer. Sixty-two sea ice cores of pack and fast ice were collected from twenty-seven sites across an area of the eastern ASIZ (64 degrees E to 110 degrees E; and the Antarctic coastline north to 62 degrees S). Concentrations of DMS in 81 sections of sea ice ranged from &lt; 0.3 to 75 nM, with an average of 12 nM. DMSP in 60 whole sea ice cores ranged from 25 to 796 nM and showed a negative relationship with ice thickness (y=125x(-0.8)). Extremely high DMSP concentrations were found in 2 cores of rafted sea ice (2910 and 1110 nM). The relationship of DMSP with ice thickness (excluding rafted ice) suggests that the release of large amounts of DMSP during sea ice melting may occur in discrete areas defined by ice thickness distribution, and may produce 'hot spots' of elevated seawater DMS concentration of the order of 100 nM. During early summer across a 500 krn transect through melting pack ice, elevated DMS concentrations (range 21-37 W, mean 31 nM, n = 15) were found in surface seawater. This band of elevated DMS concentration appeared to have been associated with the release of sea ice DMS and DMSP rather than in situ production by an ice edge algal bloom, as chlorophyll a concentrations were relatively low (0.09-0.42 mu g l(-1)). During fast ice melting in the area of Davis station, Prydz Bay, sea ice DMSP was released mostly as extracellular DMSP, since intracellular DMSP was negligible in both hyposaline brine (5 ppt) and in a melt water lens (4-5 ppt), while extracellular DMSP concentrations were as high as 149 and 54 nM, respectively in these habitats. DMS in a melt water lens was relatively high at I I nM. During the ice-free summer in the coastal Davis area, DMS concentrations in surface seawater were highest immediately following breakout of the fast ice cover in late December (range 5-14 nM), and then remained at relatively low concentrations through to late February (&lt; 0.3-6 nM). These measurements support the view that the melting of Antarctic sea ice produces elevated seawater DMS due to release of sea ice DMS and DMSP. (c) 2005 Elsevier B.V. All rights reserved.</t>
  </si>
  <si>
    <t>So Cross Univ, Sch Environm Sci &amp; Management, Lismore, NSW 2480, Australia; Univ Libre Bruxelles, Dept Sci Terre &amp; Environm, B-1050 Brussels, Belgium; Dept Environm, Karratha 6714, Australia</t>
  </si>
  <si>
    <t>Southern Cross University; Universite Libre de Bruxelles</t>
  </si>
  <si>
    <t>So Cross Univ, Sch Environm Sci &amp; Management, Lismore, NSW 2480, Australia.</t>
  </si>
  <si>
    <t>gjones@scu.edu.au</t>
  </si>
  <si>
    <t>Jones, Graham/0000-0002-2815-6395</t>
  </si>
  <si>
    <t>10.1016/j.marchem.2005.09.005</t>
  </si>
  <si>
    <t>007DX</t>
  </si>
  <si>
    <t>WOS:000234949600010</t>
  </si>
  <si>
    <t>Borman, AM; Campbell, CK; Linton, CJ; Bridge, PD; Johnson, EM</t>
  </si>
  <si>
    <t>Polycytella hominis is a mutated form of Scedosporium apiospermum</t>
  </si>
  <si>
    <t>Scedosporium; Pseudallescheria; Polycytella; mycetoma; rDNA sequence</t>
  </si>
  <si>
    <t>TRANSCRIBED SPACER REGIONS; PSEUDALLESCHERIA-BOYDII; ALIGNMENT</t>
  </si>
  <si>
    <t>PCR amplification and sequencing of two separate regions of the nuclear ribosomal repeat region revealed that Polycytella hominis, a hyphomycete isolated from a human case of mycetoma, was genetically indistinguishable from Scedosporium apiospermum (the anamorph of Pseudallescheria boydii). These organisms also exhibited remarkably similar susceptibility profiles to common antifungal agents. P. hominis is thus likely to be a mutant of S. apiospermum showing abnormalities of sporulation, for which a possible mechanism is discussed. Polycytella hominis should thus be regarded as a synonym of Scedosporium apiospermum.</t>
  </si>
  <si>
    <t>Hlth Protect Agcy, Mycol Reference Lab, SW Reg Lab, Bristol BS2 8EL, Avon, England; British Antarctic Survey, Cambridge CB3 0ET, England</t>
  </si>
  <si>
    <t>Hlth Protect Agcy, Mycol Reference Lab, SW Reg Lab, Myrtle Rd, Bristol BS2 8EL, Avon, England.</t>
  </si>
  <si>
    <t>Andy.Borman@ubht.swest.nhs.uk</t>
  </si>
  <si>
    <t>10.1080/13693780500179678</t>
  </si>
  <si>
    <t>013AS</t>
  </si>
  <si>
    <t>WOS:000235382600005</t>
  </si>
  <si>
    <t>Moreira, D; Rodríguez-Valera, F; López-García, P</t>
  </si>
  <si>
    <t>Metagenomic analysis of mesopelagic Antarctic plankton reveals a novel deltaproteobacterial group</t>
  </si>
  <si>
    <t>MICROBIOLOGY-SGM</t>
  </si>
  <si>
    <t>DEEP-SEA; GENOME SEQUENCE; RNA GENES; PROTEIN; BACTERIAL; DIVERSITY; REDUCTION; ARCHAEA; FE(III); PHOTOTROPHY</t>
  </si>
  <si>
    <t>Phylogenetic screening of 3200 clones from a metagenomic library of Antarctic mesopelagic picoplankton allowed the identification of two bacterial 16S-rDNA-containing clones belonging to the Deltaproteobacteria, DeepAnt-1F12 and DeepAnt-32C6. These clones were very divergent, forming a monophyletic cluster with the environmental sequence GR-WP33-58 that branched at the base of the myxobacteria. Except for the possession of complete rrn operons without associated tRNA genes, DeepAnt-1F12 and DeepAnt-32C6 were very different in gene content and organization. Gene density was much higher in DeepAnt-32C6, whereas nearly one-third of DeepAnt-1F12 corresponded to intergenic regions. Many of the predicted genes encoded by these metagenomic clones were informational (i.e. involved in replication, transcription, translation and related processes). Despite this, a few putative cases of horizontal gene transfer were detected, including a transposase. DeepAnt-1F12 contained one putative gene encoding a long cysteine-rich protein, probably membrane-bound and Ca2+-binding, with only eukaryotic homologues. DeepAnt-32C6 carried some predicted genes involved in metabolic pathways that suggested this organism may be anaerobic and able to ferment and to degrade complex compounds extracellularly.</t>
  </si>
  <si>
    <t>Univ Paris 11, Unite Ecol Systemat &amp; Evolut, CNRS, UMR 8079, F-91405 Orsay, France; Univ Miguel Hernandez, Div Microbiol, Alacant 03550, Spain; Univ Miguel Hernandez, Evolutionary Genom Grp, Alacant 03550, Spain</t>
  </si>
  <si>
    <t>Universite Paris Saclay; Centre National de la Recherche Scientifique (CNRS); CNRS - Institute of Ecology &amp; Environment (INEE); AgroParisTech; Universidad Miguel Hernandez de Elche; Universidad Miguel Hernandez de Elche</t>
  </si>
  <si>
    <t>Univ Paris 11, Unite Ecol Systemat &amp; Evolut, CNRS, UMR 8079, F-91405 Orsay, France.</t>
  </si>
  <si>
    <t>puri.lopez@ese.u-psud.fr</t>
  </si>
  <si>
    <t>Rodriguez-Valera, Francisco/M-2782-2013; Moreira, David/F-7445-2012; Lopez-Garcia, Purificacion/B-6775-2012</t>
  </si>
  <si>
    <t>Rodriguez-Valera, Francisco/0000-0002-9809-2059; Moreira, David/0000-0002-2064-5354; Lopez-Garcia, Purificacion/0000-0002-0927-0651</t>
  </si>
  <si>
    <t>1350-0872</t>
  </si>
  <si>
    <t>1465-2080</t>
  </si>
  <si>
    <t>MICROBIOL-SGM</t>
  </si>
  <si>
    <t>Microbiology-(UK)</t>
  </si>
  <si>
    <t>10.1099/mic.0.28254-0</t>
  </si>
  <si>
    <t>011MM</t>
  </si>
  <si>
    <t>WOS:000235272400024</t>
  </si>
  <si>
    <t>Allen, DR; Coy, L; Eckermann, SD; McCormack, JP; Manney, GL; Hogan, TF; Kim, YJ</t>
  </si>
  <si>
    <t>NOGAPS-ALPHA simulations of the 2002 Southern Hemisphere stratospheric major warming</t>
  </si>
  <si>
    <t>MONTHLY WEATHER REVIEW</t>
  </si>
  <si>
    <t>GENERAL-CIRCULATION MODEL; QUASI-GEOSTROPHIC EDDIES; DATA ASSIMILATION SYSTEM; METEOROLOGICAL ANALYSES; NUMERICAL FORECASTS; PREDICTIVE SKILL; ANTARCTIC WINTER; UPPER-ATMOSPHERE; UNIFIED MODEL; TOTAL OZONE</t>
  </si>
  <si>
    <t>A high-altitude version of the Navy Operational Global Atmospheric Prediction System (NOGAPS) spectral forecast model is used to simulate the unusual September 2002 Southern Hemisphere stratospheric major warming. Designated as NOGAPS-Advanced Level Physics and High Altitude (NOGAPS-ALPHA), this model extends from the surface to 0.005 hPa (similar to 85 km altitude) and includes modifications to multiple components of the operational NOGAPS system, including a new radiative heating scheme, middle-atmosphere gravity wave drag parameterizations, hybrid vertical coordinate, upper-level meteorological initialization, and radiatively active prognostic ozone with parameterized photochemistry. NOGAPS-ALPHA forecasts (hindcasts) out to 6 days capture the main features of the major warming, such as the zonal mean wind reversal, planetary-scale wave amplification, large upward Eliassen-Palm (EP) fluxes, and splitting of the polar vortex in the middle stratosphere. Forecasts beyond 6 days have reduced upward EP flux in the lower stratosphere, reduced amplitude of zonal wavenumbers 2 and 3, and a middle stratospheric vortex that does not split. Three-dimensional EP-flux diagnostics in the troposphere reveal that the longer forecasts underestimate upward-propagating planetary wave energy emanating from a significant blocking pattern over the South Atlantic that played a large role in forcing the major warming. Forecasts of less than 6 days are initialized with the blocking in place, and therefore are not required to predict the blocking onset. For a more thorough skill assessment, NOGAPS-ALPHA forecasts over 3 weeks during September-October 2002 are compared with operational NOGAPS 5-day forecasts made at the time. NOGAPS-ALPHA forecasts initialized with 2002 operational NOGAPS analyses show a modest improvement in skill over the NOGAPS operational forecasts. An additional, larger improvement is obtained when NOGAPS-ALPHA is initialized with reanalyzed 2002 fields produced with the currently operational (as of October 2003) Naval Research Laboratory (NRL) Atmospheric Variational Data Assimilation System (NAVDAS). Thus the combination of higher model top, better physical parameterizations, and better initial conditions all yield improved forecasting skill over the NOGAPS forecasts issued operationally at the time.</t>
  </si>
  <si>
    <t>USN, Res Lab, Remote Sensing Div, Washington, DC 20375 USA; USN, Res Lab, EO Hulburt Ctr Space Res, Washington, DC 20375 USA; New Mexico Highlands Univ, Las Vegas, NV USA; CALTECH, Jet Propuls Lab, Pasadena, CA 91125 USA; USN, Res Lab, Marine Meteorol Div, Monterey, CA USA</t>
  </si>
  <si>
    <t>United States Department of Defense; United States Navy; Naval Research Laboratory; United States Department of Defense; United States Navy; Naval Research Laboratory; National Aeronautics &amp; Space Administration (NASA); NASA Jet Propulsion Laboratory (JPL); California Institute of Technology; United States Department of Defense; United States Navy; Naval Research Laboratory</t>
  </si>
  <si>
    <t>Dordt Coll, Dept Phys &amp; Astron, 498 4th Ave NE, Sioux Ctr, IA 51250 USA.</t>
  </si>
  <si>
    <t>dallen@dordt.edu</t>
  </si>
  <si>
    <t>Manney, Gloria/JED-7207-2023; Allen, Douglas Ray/GWZ-8901-2022</t>
  </si>
  <si>
    <t>Kim, Young-Joon/0000-0003-3228-8849; Coy, Lawrence/0000-0002-0414-0882; McCormack, John/0000-0002-3674-0508; Allen, Douglas/0000-0003-2747-9712; Eckermann, Stephen/0000-0002-8534-1909</t>
  </si>
  <si>
    <t>0027-0644</t>
  </si>
  <si>
    <t>1520-0493</t>
  </si>
  <si>
    <t>MON WEATHER REV</t>
  </si>
  <si>
    <t>Mon. Weather Rev.</t>
  </si>
  <si>
    <t>10.1175/MWR3086.1</t>
  </si>
  <si>
    <t>019NT</t>
  </si>
  <si>
    <t>WOS:000235844700004</t>
  </si>
  <si>
    <t>Van de Vijver, B; Van Dam, H; Beyens, L</t>
  </si>
  <si>
    <t>Luticold higleri sp nov., a new diatom species from King George Island (South Shetland Islands, Antarctica)</t>
  </si>
  <si>
    <t>NOVA HEDWIGIA</t>
  </si>
  <si>
    <t>Antarctic; Luticola; diatoms; morphology</t>
  </si>
  <si>
    <t>COMMUNITIES</t>
  </si>
  <si>
    <t>Luticola higleri nov. sp. is described from the Antarctic King George Island (South Shetland Islands). The detailed morphology of this taxon is examined using both light and scanning electron microscopy and compared with similar species. The main morphological features include the presence of a distinct number of poroid rows, the relatively simple raphe structure and the small stigma. This new taxon is so far only recorded from samples taken from both mosses and mud pools, near the Bellingshausen area on King George Island. Based on its typical features, the species clearly belongs to the genus Luticola although several characters might point to an intermediate or transitional position between Luticola and Diadesmis.</t>
  </si>
  <si>
    <t>Univ Antwerp, Dept Biol, Unit Polar Ecol Limnol &amp; Paleobiol, B-2020 Antwerp, Belgium; AquaSense, NL-1095 HC Amsterdam, Netherlands</t>
  </si>
  <si>
    <t>University of Antwerp</t>
  </si>
  <si>
    <t>Van de Vijver, B (corresponding author), Univ Antwerp, Dept Biol, Unit Polar Ecol Limnol &amp; Paleobiol, Groenenborgerlaan 171, B-2020 Antwerp, Belgium.</t>
  </si>
  <si>
    <t>bart.vandevijver@ua.ac.be</t>
  </si>
  <si>
    <t>GEBRUDER BORNTRAEGER</t>
  </si>
  <si>
    <t>STUTTGART</t>
  </si>
  <si>
    <t>JOHANNESSTR 3A, D-70176 STUTTGART, GERMANY</t>
  </si>
  <si>
    <t>0029-5035</t>
  </si>
  <si>
    <t>Nova Hedwigia</t>
  </si>
  <si>
    <t>10.1127/0029-5035/2006/0082-0069</t>
  </si>
  <si>
    <t>022OQ</t>
  </si>
  <si>
    <t>WOS:000236065800005</t>
  </si>
  <si>
    <t>Ritz, MS; Hahn, S; Janicke, T; Peter, HU</t>
  </si>
  <si>
    <t>Hybridisation between South polar skua (Catharacta maccormicki) and Brown skua (C-antarctica lonnbergi) in the Antarctic Peninsula region</t>
  </si>
  <si>
    <t>REPRODUCTIVE SUCCESS; ANVERS ISLAND; HYBRID ZONE; BIRDS; SIZE; MATE; DNA; PATTERNS; FIDELITY; CARRION</t>
  </si>
  <si>
    <t>Hybridisation between South polar skua (C. maccormicki) and Brown skua (C. antarctica lonnbergi) in the area of the Antarctic Peninsula is known at least since the beginning of the last century but no survey has been done so far. This paper reviews information on the species composition of skua colonies of more than 10 pairs in the Antarctic Peninsula region, and the incidence of mixed pairs. Morphometrics, population size and breeding success were examined in detail at King George Island. The northward distribution of South polar skuas extended to King George Island (62 degrees 11' S 59 degrees 00' W), with a small outlying population on Signy Island (60 degrees 45' S 45 degrees 36' W), whereas Brown skuas did not breed further south than Anvers Island archipelago (64 degrees 46' S 64 degrees 03' W). The proportion of mixed pairs was highest at the northern end of the similar to 500-km-wide hybrid zone. Body size distribution of sympatric skuas from King George Island is clearly bimodal but overlaps considerably and hybrids cannot be identified. Skua population sizes at Potter Peninsula/King George Island remained stable between 1994 and 2004. Numbers of mixed breeding pairs fluctuated more strongly than those of pure species pairs. Breeding success of Brown skuas varied the least.</t>
  </si>
  <si>
    <t>Ritz, MS (corresponding author), Univ Jena, Inst Ecol, Dornburger Str 159, D-07743 Jena, Germany.</t>
  </si>
  <si>
    <t>markus.ritz@uni-jena.de</t>
  </si>
  <si>
    <t>Janicke, Tim/AHD-5939-2022; Ritz, Markus S./A-5321-2008</t>
  </si>
  <si>
    <t>Janicke, Tim/0000-0002-1453-6813;</t>
  </si>
  <si>
    <t>10.1007/s00300-005-0034-0</t>
  </si>
  <si>
    <t>020JC</t>
  </si>
  <si>
    <t>WOS:000235903800001</t>
  </si>
  <si>
    <t>Turner, PAM; Scott, JJ; Rozefelds, AC</t>
  </si>
  <si>
    <t>Probable long distance dispersal of Leptinella plumosa Hook.f. to Heard Island:: habitat, status and discussion of its arrival</t>
  </si>
  <si>
    <t>SOUTHERN-OCEAN ISLANDS; MARION ISLAND; PLANT INVASIONS; VEGETATION; IMPACTS</t>
  </si>
  <si>
    <t>During the 2003-2004 austral summer the number of vascular plant species recorded from Heard Island rose from 11 to 12 with the discovery of one small plant of Leptinella plumosa Hook.f. (Asteraceae), an indigenous subantarctic species. It is described and its habitat, likely status and possible means of arrival on the island are discussed. We conclude that the species probably arrived by natural means with a seabird as its most likely dispersal vector. The life history and biology of L. plumosa indicates its likely persistence on Heard Island.</t>
  </si>
  <si>
    <t>Australian Govt, Australian Antarctic Div, Dept Environm &amp; Heritage, Kingston, Tas 7050, Australia; Univ Tasmania, Sch Geog &amp; Environm Studies, Hobart, Tas 7001, Australia; Tasmanian Museum &amp; Art Gallery, Hobart, Tas 7001, Australia</t>
  </si>
  <si>
    <t>Turner, PAM (corresponding author), Forestry Tasmania, 79 Melville St, Hobart, Tas 7000, Australia.</t>
  </si>
  <si>
    <t>Perpetua.Turner@forestrytas.com.au</t>
  </si>
  <si>
    <t>10.1007/s00300-005-0035-z</t>
  </si>
  <si>
    <t>WOS:000235903800002</t>
  </si>
  <si>
    <t>Warren, NL; Trathan, PN; Forcada, J; Fleming, A; Jessopp, MJ</t>
  </si>
  <si>
    <t>Distribution of post-weaning Antarctic fur seal Arctocephalus gazella pups at South Georgia</t>
  </si>
  <si>
    <t>FORAGING BEHAVIOR; BREEDING-SEASON; FEMALE; LOCATION; VARIABILITY; CONSUMPTION; DISPERSAL; WINTER; AREAS; OCEAN</t>
  </si>
  <si>
    <t>Potentially some of the biggest gaps in our knowledge about the ecology of Antarctic fur seals (Arctocephalus gazella) relate to juvenile animals. We investigated the at-sea distribution of five male and five female fur seal pups post-weaning. The study was carried out at Bird Island, South Georgia during two successive winters using satellite-linked platform transmitter terminals (PTTs). Our results are analysed in relation to pup sex and the physical environment and productivity of those 2 years, as well as in the context of our present knowledge of where post-breeding females and males forage. The available physical and biological data during both of the winters of this study suggest that both years were not unusual. We report marked differences between the sexes with male pups foraging significantly further away from land and their birth site than do females. The pups foraged in areas to the East of Bird Island seldom reported as foraging areas for the adult population. Also as winter progressed they showed a more oceanic distribution leaving the continental shelf, possibly to exploit a different prey source that was more readily available in the upper water column.</t>
  </si>
  <si>
    <t>NERC, British Antarctic Survey, Cambridge CB3 0ET, England</t>
  </si>
  <si>
    <t>NERC, British Antarctic Survey, Madingley Rd, Cambridge CB3 0ET, England.</t>
  </si>
  <si>
    <t>pnt@bas.ac.uk</t>
  </si>
  <si>
    <t>Jessopp, Mark/AAI-4786-2020; Forcada, Jaume/GYU-0677-2022</t>
  </si>
  <si>
    <t>Jessopp, Mark/0000-0002-2692-3730;</t>
  </si>
  <si>
    <t>10.1007/s00300-005-0037-x</t>
  </si>
  <si>
    <t>WOS:000235903800004</t>
  </si>
  <si>
    <t>Barnes, DKA; Linse, K; Waller, C; Morely, S; Enderlein, P; Fraser, KPP; Brown, M</t>
  </si>
  <si>
    <t>Shallow benthic fauna communities of South Georgia Island</t>
  </si>
  <si>
    <t>OCEAN; BIOGEOGRAPHY; ANTARCTICA</t>
  </si>
  <si>
    <t>Benthic communities in several fjords and sheltered bays of the north coast of South Georgia Island were examined using SCUBA and shore sampling in November 2004. It is one of the most northerly islands within the Polar Front and its well studied, terrestrial biota is described as sub Antarctic. The intertidal and subtidal zones and their fauna are, by comparison, little known. We describe the composition of the substratum and benthic communities of sites in several northern bays, including an exceptional community in the extremely sheltered Moraine Fjord with a 2 m sill at its entrance. In this, like those in some other fjordic systems, some taxa occur shallower than elsewhere, and in this instance, get large and are probably old. Elsewhere, we found the coastal fauna was fairly similar to Antarctic shallow communities in the southern Scotia Arc and Peninsula region. Of the taxa we found, we identified 53 to genus and 41 to species. Most of these were typical Antarctic shallow benthic taxa. Certain flatworms, nemerteans, bivalve and gastropod molluscs, amphipod and isopod crustaceans, asteroid echinoderms and stalked ascidians were very abundant, but some normally common Antarctic higher taxa and species were notably absent or rare.</t>
  </si>
  <si>
    <t>Barnes, DKA (corresponding author), NERC, British Antarctic Survey, High Cross,Madingley Rd, Cambridge CB3 0ET, England.</t>
  </si>
  <si>
    <t>Linse, Katrin/0000-0003-3477-3047; Waller, Catherine L/0000-0002-0836-3223; Fraser, Keiron/0000-0001-5491-8376</t>
  </si>
  <si>
    <t>10.1007/s00300-005-0042-0</t>
  </si>
  <si>
    <t>WOS:000235903800008</t>
  </si>
  <si>
    <t>Lawton, K; Robertson, G; Kirkwood, R; Valencia, J; Schlatter, R; Smith, D</t>
  </si>
  <si>
    <t>An estimate of population sizes of burrowing seabirds at the Diego Ramirez archipelago, Chile, using distance sampling and burrow-scoping</t>
  </si>
  <si>
    <t>PETRELS; ISLAND; CENSUS</t>
  </si>
  <si>
    <t>The Diego Ramirez Islands lie 60 nautical miles southwest of Cape Horn and are the breeding site for three species of burrowing seabirds: blue petrels (Halobaena caerulea), common diving petrels (Pelecanoides urinatrix) and sooty shearwater (Puffinus griseus). Burrowing seabirds are highly vulnerable to predation by introduced vertebrate pests, and Diego Ramirez is an important breeding site because it is one of a few remaining subantarctic island groups with no introduced predators. Diego Ramirez is the only known breeding site for blue petrels in the southeast Pacific region, holding about 80% of the global population of that species, and with a population ten times larger than any other population in the world. We estimated the population size in 2002, using a novel application of the distance sampling technique to determine burrow density, and a burrow-scope with excavations to determine occupying species. We found that density was correlated with slope angle and soil wetness. Burrow densities in flatter terrain with drier soils were 2.03 burrows/m(2) (95% confidence intervals: 1.82-2.27) and 1.11 burrows/m(2) (0.84-1.48) in steeper terrain with wetter soils. The occupation rate of burrows were significantly different between habitat types (t=2.74, d.f. 11, P &lt; 0.05); in flatter drier habitats the proportion of burrows that led to a nest was 0.85 (0.74-0.96), in steeper wetter habitats this decreased to 0.64 (0.50-0.78). We used a digital elevation model to calculate true area rather than planar area for the two habitat types on the main island of Bartolome, and charts to calculate planar area for the remainder of the archipelago. There were 1.35 (1.15-1.54) million pairs of blue petrels and 99,000 (65,000-134,000) pairs of common diving petrels on the archipelago. These are similar figures to those from the only previous estimate, made in 1980. We found breeding sooty shearwaters for the first time, and estimated a population of several thousand pairs. We emphasise the facility of distance sampling as an unbiased technique with practical advantages over commonly used area search methods for monitoring populations of burrowing seabirds. These advantages include increased survey efficiency allowing a larger sample size for a given effort and a correspondingly tighter estimation of density.</t>
  </si>
  <si>
    <t>Australian Antarctic Div, Kingston, Tas 7050, Australia; Inst Antartico Chileno, Punto Arenas, Chile; Univ Austral Chile, Fac Ciencias, Inst Zool, Valdivia, Chile</t>
  </si>
  <si>
    <t>Australian Antarctic Division; Universidad Austral de Chile</t>
  </si>
  <si>
    <t>Lawton, K (corresponding author), Australian Antarctic Div, 203 Channel Highway, Kingston, Tas 7050, Australia.</t>
  </si>
  <si>
    <t>Kieran.Lawton@aad.gov.au</t>
  </si>
  <si>
    <t>Valencia, Jose/IAO-2562-2023</t>
  </si>
  <si>
    <t>Kirkwood, Roger/0000-0003-4221-4050</t>
  </si>
  <si>
    <t>10.1007/s00300-005-0043-z</t>
  </si>
  <si>
    <t>WOS:000235903800009</t>
  </si>
  <si>
    <t>Mazzarella, L; Bonomi, G; Lubrano, MC; Merlino, A; Riccio, A; Vergara, A; Vitagliano, L; Verde, C; di Prisco, G</t>
  </si>
  <si>
    <t>Minimal structural requirements for root effect:: Crystal structure of the cathodic hemoglobin isolated from the Antarctic fish Trematomus newnesi</t>
  </si>
  <si>
    <t>PROTEINS-STRUCTURE FUNCTION AND BIOINFORMATICS</t>
  </si>
  <si>
    <t>root effect; Antarctic fish hemoglobin; cooperativity</t>
  </si>
  <si>
    <t>PAGOTHENIA-BERNACCHII; OXYGEN-AFFINITY; STEREOCHEMISTRY; EQUILIBRIUM; MECHANISMS; INSIGHTS; SITE</t>
  </si>
  <si>
    <t>The cathodic hemoglobin component of the Antarctic fish Trematomus newnesi (HbCTn) is a Root-effect protein. The interpretation of its functional properties in relation to its sequence is puzzling. Indeed, HbCTn sequence is characterized by an extremely low histidyl content, and in particular by the lack of His146 beta and His69 beta, which are believed to be important in Bohr and Root effects, respectively. Furthermore, previous analyses suggested that the local environment of Asp95 alpha, Asp99 beta, and Asp101 beta should not be appropriate for the formation of Asp-Asp interactions, which are important for the Root effect. Here, we report the high-resolution crystal structure of the deoxy form of HbCTn. Our data provide a structural interpretation for the very low oxygen affinity of the protein and insights into the structural determinants of the Root effect protein. The structure demonstrates that the presence of Ile41 alpha and Ser97 alpha at the alpha(1)beta(2) interface does not prevent the formation of the inter-Asp interactions in HbCTn, as previous studies had suggested. The present data indicate that the hydrogen bond formed between Asp95a and Asp101 beta, which is stabilized by Asp99 beta, is per se sufficient to generate the Root effect, and it is the minimal structural requirement needed for the design of Root-effect Hbs.</t>
  </si>
  <si>
    <t>Univ Naples Federico II, Dipartimento Chim, I-80126 Naples, Italy; CNR, Ist Biostrutt &amp; Bioimmagini, I-80125 Naples, Italy; Ctr Reg Competenza Bioteknet, Naples, Italy; CNR, Ist Biochim Prot, I-80125 Naples, Italy</t>
  </si>
  <si>
    <t>University of Naples Federico II; Consiglio Nazionale delle Ricerche (CNR); Istituto di Biostrutture e Bioimmagini (IBB-CNR); Consiglio Nazionale delle Ricerche (CNR); Istituto di Biochimica delle Proteine (IBP-CNR)</t>
  </si>
  <si>
    <t>Mazzarella, L (corresponding author), Univ Naples Federico II, Dipartimento Chim, Complesso Monte S Angelo,Via Cinthia, I-80126 Naples, Italy.</t>
  </si>
  <si>
    <t>mazzarella@chemistry.unina.it</t>
  </si>
  <si>
    <t>Vergara, Alessandro/C-4435-2013; Merlino, Antonello/AAI-2114-2020</t>
  </si>
  <si>
    <t>Vergara, Alessandro/0000-0003-4135-0245; Merlino, Antonello/0000-0002-1045-7720; VERDE, Cinzia/0000-0001-6185-282X</t>
  </si>
  <si>
    <t>0887-3585</t>
  </si>
  <si>
    <t>PROTEINS</t>
  </si>
  <si>
    <t>Proteins</t>
  </si>
  <si>
    <t>10.1002/prot.20709</t>
  </si>
  <si>
    <t>000CP</t>
  </si>
  <si>
    <t>WOS:000234438800002</t>
  </si>
  <si>
    <t>Adekoya, OA; Helland, R; Willassen, NP; Sylte, I</t>
  </si>
  <si>
    <t>Comparative sequence and structure analysis reveal features of cold adaptation of an enzyme in the thermolysin family</t>
  </si>
  <si>
    <t>cold adaptation; sequence analysis; structural analysis; molecular dynamics simulation</t>
  </si>
  <si>
    <t>CATION-PI INTERACTIONS; STREPTOMYCES-NIGRESCENS TK-23; PROTEINACEOUS METALLOPROTEINASE INHIBITOR; THERMOSTABLE NEUTRAL PROTEASE; NUCLEOTIDE-SEQUENCE; ALTEROMONAS-HALOPLANCTIS; PSEUDOMONAS-AERUGINOSA; PSYCHROPHILIC ENZYMES; MOLECULAR-DYNAMICS; CRYSTAL-STRUCTURES</t>
  </si>
  <si>
    <t>Knowledge about the structural features underlying cold adaptation is important for designing enzymes of different industrial relevance. Vibriolysin from Antarctic bacterium strain 643 (VAB) is at present the only enzyme of the thermolysin family from an organism that thrive in extremely cold climate. In this study comparative sequence-structure analysis and molecular dynamics (MD) simulations were used to reveal the molecular features of cold adaptation of VAB. Amino acid sequence analysis of 44 thermolysin enzymes showed that VAB compared to the other enzymes has: (1) fewer arginines, (2) a lower Arg/(Lys + Arg) ratio, (3) a lower fraction of large aliphatic side chains, expressed by the (Ile + Leu)/(Ile + Leu + Val) ratio, (4) more methionines, (5) more serines, and (6) more of the thermolabile amino acid asparagine. A model of the catalytic domain of VAB was constructed based on homology with pseudolysin. MD simulations for 3 ns of VAB, pseudolysin, and thermolysin supported the assumption that cold-adapted enzymes have a more flexible three-dimensional (3D) structure than their thermophilic and mesophilic counterparts, especially in some loop regions. The structural analysis indicated that VAB has fewer intramolecular cation-pi electron interactions and fewer hydrogen bonds than its mesophilic (pseudolysin) and thermophilic (thermolysin) counterparts. Lysine is the dominating cationic amino acids involved in salt bridges in VAB, while arginine is dominating in thermolysin and pseudolysin. VAB has a greater volume of inaccessible cavities than pseudolysin and thermolysin. The electrostatic potentials on the surface of the catalytic domain were also more negative for VAB than for thermolysin and pseudolysin. Thus, the MD simulations, the structural patterns, and the amino acid composition of VAB relative to other enzymes of the thermolysin family suggest that VAB possesses the biophysical properties generally following adaptation to cold climate.</t>
  </si>
  <si>
    <t>Univ Tromso, Med Biol Inst, Dept Pharmacol, Fac Med, N-9037 Tromso, Norway; Univ Tromso, Med Biol Inst, Dept Mol Biotechnol, Fac Med, N-9037 Tromso, Norway; Univ Tromso, Fac Sci, Dept Chem, N-9037 Tromso, Norway</t>
  </si>
  <si>
    <t>UiT The Arctic University of Tromso; UiT The Arctic University of Tromso; UiT The Arctic University of Tromso</t>
  </si>
  <si>
    <t>Univ Tromso, Med Biol Inst, Dept Pharmacol, Fac Med, N-9037 Tromso, Norway.</t>
  </si>
  <si>
    <t>sylte@fagmed.uit.no</t>
  </si>
  <si>
    <t>Willassen, Nils Peder/AAE-1843-2019</t>
  </si>
  <si>
    <t>Willassen, Nils Peder/0000-0002-4397-8020; Sylte, Ingebrigt/0000-0002-3290-3736</t>
  </si>
  <si>
    <t>1097-0134</t>
  </si>
  <si>
    <t>10.1002/prot.20773</t>
  </si>
  <si>
    <t>WOS:000234438800013</t>
  </si>
  <si>
    <t>Douglass, DC; Singer, BS; Kaplan, MR; Mickelson, DM; Caffee, MW</t>
  </si>
  <si>
    <t>Douglass, D. C.; Singer, B. S.; Kaplan, M. R.; Mickelson, D. M.; Caffee, M. W.</t>
  </si>
  <si>
    <t>Cosmogenic nuclide surface exposure dating of boulders on last-glacial and late-glacial moraines, Lago Buenos Aires, Argentina: Interpretive strategies and paleoclimate implications</t>
  </si>
  <si>
    <t>QUATERNARY GEOCHRONOLOGY</t>
  </si>
  <si>
    <t>paleoclimate; glacial chronology; cosmogenic nuclide surface exposure dating; beryllium-10; aluminum-26; antarctic cold reversal; Lago Buenos Aires; Argentina</t>
  </si>
  <si>
    <t>NORTH PATAGONIAN ICEFIELD; CHILEAN LAKE DISTRICT; CENTRAL STRAIT; DEGLACIAL PALEOCLIMATE; TAITAO PENINSULA; PRODUCTION-RATES; CLIMATE CHANGES; SOUTH-AMERICA; BAHIA INUTIL; ISLA GRANDE</t>
  </si>
  <si>
    <t>in situ cosmogenic nuclides have become a powerful means to determine surface exposure ages of boulders on moraines and other landforms that are important to paleoclimate reconstructions. Potentially the largest and least quantifiable source of uncertainty of these surface exposure ages is the variable exposure histories of individual boulders. We use the mean square of weighted deviates (MSWD) statistic and cumulative frequency plots to identify groups of boulders that have statistically similar ages based on the number of analyses and their uncertainties. These samples most likely represent the true age of the moraine. We use these tools to interpret 49 Be-10 and Al-26 surface exposure ages of erratic boulders on six last-glacial and late-glacial moraines at Lago Buenos Aires, Argentina (LBA; 71 degrees W, 46.5 degrees S). Seven of the 49 boulders are identified as anomalously young, and are interpreted to have been exhumed after moraine deposition. The remaining 42 samples indicate that glacial advances or still-stands of the ice margin occurred at 22.7 +/- 0.9, 21.4 +/- 1.9, 19.9 +/- 1.1, 17.0 +/- 0.8, 15.8 +/- 0.6, and 14.4 +/- 0.9ka (weighted mean ages 2(+/- 2 sigma, analytical, erosion rate, and attenuation length uncertainties). This chronology of an outlet of the Patagonian Ice Cap is comparable to many records in the Northern Hemisphere despite a maximum in local summer insolation during this period. The implication is that climate during the Last Glacial Maximum was generally synchronous at the global scale. However, the late-glacial readvance to 95% of the extent of the largest advance during the Last Glacial Maximum at 14.4 +/- 0.9 ka is distinctively Antarctic in nature. It is contemporaneous with the Antarctic Cold Reversal, and precedes the Younger Dryas Chronozone. Further, our precise exposure ages highlight climatic asynchrony across southern South America between 23 and 14 ka. The timing of maximum ice extent and onset of deglaciation at LBA occurred similar to 4 ka later than in the northern parts of the Chilean Lake District (41 degrees S), but were synchronous with glacial advances or still stands in the Strait of Magellan (52 degrees S). This regional asynchrony is likely related to the strength and position of the Southern Westerlies. (C) 2006 Elsevier Ltd. All rights reserved.</t>
  </si>
  <si>
    <t>Univ Wisconsin, Dept Geol &amp; Geophys, Madison, WI 53706 USA; Univ Edinburgh, Sch Geosci, Edinburgh, Midlothian, Scotland; Purdue Univ, PRIME Lab, W Lafayette, IN 47907 USA</t>
  </si>
  <si>
    <t>University of Wisconsin System; University of Wisconsin Madison; University of Edinburgh; Purdue University System; Purdue University</t>
  </si>
  <si>
    <t>Douglass, DC (corresponding author), Northeastern Univ, Dept Earth &amp; Environm Sci, 360 Huntington Ave, Boston, MA 02115 USA.</t>
  </si>
  <si>
    <t>d.douglass@neu.edu</t>
  </si>
  <si>
    <t>Kaplan, Michael R/D-4720-2011; Singer, Brad S/HNC-4900-2023; Singer, Bradley/F-4991-2012</t>
  </si>
  <si>
    <t>Singer, Brad S/0000-0003-3595-5168; Singer, Bradley/0000-0003-3595-5168</t>
  </si>
  <si>
    <t>1871-1014</t>
  </si>
  <si>
    <t>1878-0350</t>
  </si>
  <si>
    <t>QUAT GEOCHRONOL</t>
  </si>
  <si>
    <t>Quat. Geochronol.</t>
  </si>
  <si>
    <t>10.1016/j.quageo.2006.06.001</t>
  </si>
  <si>
    <t>176FD</t>
  </si>
  <si>
    <t>WOS:000247069000006</t>
  </si>
  <si>
    <t>Watson, AJ; Garabato, ACN</t>
  </si>
  <si>
    <t>The role of Southern Ocean mixing and upwelling in glacial-interglacial atmospheric CO2 change</t>
  </si>
  <si>
    <t>TELLUS SERIES B-CHEMICAL AND PHYSICAL METEOROLOGY</t>
  </si>
  <si>
    <t>ANTARCTIC SEA-ICE; MARINE BIOTA; CIRCULATION; TRANSPORT; MAXIMUM; WATER; STRATIFICATION; RECONSTRUCTION; TEMPERATURE; DIATOMS</t>
  </si>
  <si>
    <t>Decreased ventilation of the Southern Ocean in glacial time is implicated in most explanations of lower glacial atmospheric CO2. Today, the deep (&gt;2000 m) ocean South of the Polar Front is rapidly ventilated from below, with the interaction of deep currents with topography driving high mixing rates well up into the water column. We show from a buoyancy budget that mixing rates are high in all the deep waters of the Southern Ocean. Between the surface and similar to 2000 m depth, water is upwelled by a residual meridional overturning that is directly linked to buoyancy fluxes through the ocean surface. Combined with the rapid deep mixing, this upwelling serves to return deep water to the surface on a short time scale. We propose two new mechanisms by which, in glacial time, the deep Southern Ocean may have been more isolated from the surface. Firstly, the deep ocean appears to have been more stratified because of denser bottom water resulting from intense sea ice formation near Antarctica. The greater stratification would have slowed the deep mixing. Secondly, subzero atmospheric temperatures may have meant that the present-day buoyancy flux from the atmosphere to the ocean surface was reduced or reversed. This in turn would have reduced or eliminated the upwelling (contrary to a common assumption, upwelling is not solely a function of the wind stress but is coupled to the air-sea buoyancy flux too). The observed very close link between Antarctic temperatures and atmospheric CO2 could then be explained as a natural consequence of the connection between the air-sea buoyancy flux and upwelling in the Southern Ocean, if slower ventilation of the Southern Ocean led to lower atmospheric CO2. Here we use a box model, similar to those of previous authors, to show that weaker mixing and reduced upwelling in the Southern Ocean can explain the low glacial atmospheric CO2 in such a formulation.</t>
  </si>
  <si>
    <t>Univ E Anglia, Sch Environm Sci, Norwich NR4 7TJ, Norfolk, England</t>
  </si>
  <si>
    <t>University of East Anglia</t>
  </si>
  <si>
    <t>Univ E Anglia, Sch Environm Sci, Norwich NR4 7TJ, Norfolk, England.</t>
  </si>
  <si>
    <t>a.watson@uea.ac.uk</t>
  </si>
  <si>
    <t>Garabato, Alberto Naveira/AAQ-1114-2020</t>
  </si>
  <si>
    <t>Garabato, Alberto Naveira/0000-0001-6071-605X; Watson, Andrew/0000-0002-9654-8147</t>
  </si>
  <si>
    <t>Natural Environment Research Council [NER/T/S/2002/00446, NE/C517633/1] Funding Source: researchfish</t>
  </si>
  <si>
    <t>1600-0889</t>
  </si>
  <si>
    <t>TELLUS B</t>
  </si>
  <si>
    <t>Tellus Ser. B-Chem. Phys. Meteorol.</t>
  </si>
  <si>
    <t>10.1111/j.1600-0889.2005.00167.x</t>
  </si>
  <si>
    <t>014ZA</t>
  </si>
  <si>
    <t>WOS:000235520500007</t>
  </si>
  <si>
    <t>Kobayashi, T; Amemiya, K; Takeuchi, K; Tsujioka, T; Tominaga, K; Hirabayashi, M; Ishikawa, H; Fukui, Y; Hochi, S</t>
  </si>
  <si>
    <t>Contribution of spermatozoal centrosomes to the microtubiale-organizing centre in Antarctic minke whale (Balaenoptera bonaerensis)</t>
  </si>
  <si>
    <t>interspecies ICSI; minke whale; microtubule-organizing centre (MTOC); sperm aster</t>
  </si>
  <si>
    <t>INTRACYTOPLASMIC SPERM INJECTION; ASTER FORMATION; CHROMATIN CONFIGURATIONS; HAMSTER OOCYTES; MOUSE OOCYTES; BOVINE; FERTILIZATION; RABBIT; MATURATION; REDUCTION</t>
  </si>
  <si>
    <t>Using an interspecies microinsemination assay with bovine oocytes, it was examined whether centrosomes of Antarctic minke whale spermatozoa function as the microtubule-organizing centre (MTOC). Bull and rat spermatozoa were used as positive and negative controls, respectively. Vitrified-warmed bovine mature oocytes were subjected to immunostaining against alpha-tubulin 4-6 h after intracytoplasmic injection (ICSI) of 5 mM dithiothreitol-treated spermatozoa. Aster formation occurred from whale spermatozoa (33%) and bull spermatozoa (33%), but very little from rat spermatozoa (3%). Activation treatment for the microinseminated oocytes with 7% ethanol + 2 mM 6-dimethylaminopurine resulted in a similar proportion of oocytes forming a whale sperm aster (35% vs 27% in the non-treated group; 4 h after ICSI) but a significantly larger aster (ratio of aster diameter to oocyte diameter, 0.57 vs 0.30 in the non-treated group). These results indicate that the centrosome introduced into bovine oocytes by whale spermatozoa contributes to the MTOC and that assembly of the microtubule network is promoted by oocyte activation.</t>
  </si>
  <si>
    <t>Shinshu Univ, Fac Text Sci &amp; Technol, Ueda, Nagano 3868567, Japan; Hyogo Prefectural Inst Agr Foresty &amp; Fisheries, Kasai, Hyogo 6790198, Japan; Natl Inst Physiol Sci, Okazaki, Aichi 4448787, Japan; Inst Cetacean Res, Chuo Ku, Tokyo 1040055, Japan; Obihiro Univ Agr &amp; Vet Med, Obihiro, Hokkaido 0808555, Japan</t>
  </si>
  <si>
    <t>Shinshu University; National Institutes of Natural Sciences (NINS) - Japan; National Institute for Physiological Sciences (NIPS); Obihiro University of Agriculture &amp; Veterinary Medicine</t>
  </si>
  <si>
    <t>Shinshu Univ, Fac Text Sci &amp; Technol, Ueda, Nagano 3868567, Japan.</t>
  </si>
  <si>
    <t>shochi@shinshu-u.ac.jp</t>
  </si>
  <si>
    <t>Hirabayashi, Masumi/0000-0002-1059-5883; Hochi, Shinichi/0000-0001-5315-3471; Kobayashi, Toshihiro/0000-0001-8019-0008</t>
  </si>
  <si>
    <t>10.1017/S0967199406003522</t>
  </si>
  <si>
    <t>028HL</t>
  </si>
  <si>
    <t>WOS:000236477700007</t>
  </si>
  <si>
    <t>Dalai, TK; Ravizza, GE; Peucker-Ehrenbrink, B</t>
  </si>
  <si>
    <t>The Late Eocene 187Os/188Os excursion:: Chemostratigraphy, cosmic dust flux and the Early Oligocene glaciation</t>
  </si>
  <si>
    <t>Eocene-Oligocene transition; Os isotopes; chemostratigraphy; Oi-1 glaciation; paleoceanography; climate-weathering feedback</t>
  </si>
  <si>
    <t>OSMIUM ISOTOPE COMPOSITION; SEA-WATER; ANTARCTIC GLACIATION; CALCITE COMPENSATION; EARLY MIOCENE; IMPACT; RECORD; IRON; PRODUCTIVITY; SYSTEMATICS</t>
  </si>
  <si>
    <t>High resolution records (ca. 100 kyr) of Os isotope composition (Os-187/Os-188) in bulksediments from two tropical Pacific sites (ODP Sites 1218 and 1219) capture the complete Late Eocene Os-187/ Os-188 excursion and confirm that the Late Eocene (OS)-O-117/Os-188 Minimum, earlier reported by Ravizza and Peucker-Ehrenbrink [Earth Planet. Sci. Lett. 210 (2003) 151-165], is a global feature. Using the astronomically tuned age models available for these sites, it is suggested that the Late Eocene Os-187/Os-188 minimum can be placed at 34.5 +/- 0.1 Ma in the marine records. In addition, two other distinct features of the Os-187/Os-188 excursion that are correlatable among sections are proposed as chemostratigraphic markers which can serve as age control points with a precision of ca. +/- 0.1 Myr. We propose a speculative hypothesis that higher cosmic dust flux in the Late Eocene may have contributed to global cooling and Early Oligocene glaciation (Oi-1) by supplying bio-essential trace elements to the oceans and thereby resulting in higher ocean productivity, enhanced burial of organic carbon and draw down of atmospheric CO. To determine if the hypothesis that enhanced cosmic dust flux ill the Late Eocene was a cause for the Os-187/Os-188 excursion can be tested by using the paired bulk sediment and leachate Os isotope composition; Os-187/Os-188 were also measured in sediment leachates. Results of analyses of leachates are inconsistent between the south Atlantic and the Pacific sites.. and therefore do not yield a robust test of this hypothesis. Comparison Of Os-187/Os-188 records with high resolution benthic foraminiferal delta O-18 records across the Eocene-Oligocene transition suggests that Os-187 flux to the oceans decreased during cooling and ice growth leading to the Oi-1 glaciation, whereas subsequent decayof ice-sheets and deglacial weathering drove seawater Os-187/Os-188 to higher values. Although the precise timing and magnitude of these changes in weathering fluxes and their effects on the marine 187oS / I HoS records are obscured by recovery from the Late Eocene Os-187/Os-188 excursion, evidence of the global influence of glaciation on supply of Os to the ocean is robust as it has now been documented in both Pacific and Atlantic records. (c) 2005 Elsevier B.V. All rights reserved.</t>
  </si>
  <si>
    <t>Univ Hawaii, Dept Geol &amp; Geophys, SOEST, Honolulu, HI 96822 USA; Woods Hole Oceanog Inst, Dept Marine Chem &amp; Geochem, Woods Hole, MA 02543 USA</t>
  </si>
  <si>
    <t>University of Hawaii System; Woods Hole Oceanographic Institution</t>
  </si>
  <si>
    <t>Univ Hawaii, Dept Geol &amp; Geophys, SOEST, Honolulu, HI 96822 USA.</t>
  </si>
  <si>
    <t>dalai@hawaii.edu</t>
  </si>
  <si>
    <t>Ravizza, Greg/J-5104-2013; Dalai, Tarun/AAF-5804-2020</t>
  </si>
  <si>
    <t>Peucker-Ehrenbrink, Bernhard/0000-0002-3819-992X</t>
  </si>
  <si>
    <t>JAN 31</t>
  </si>
  <si>
    <t>10.1016/j.epsl.2005.11.035</t>
  </si>
  <si>
    <t>011SS</t>
  </si>
  <si>
    <t>WOS:000235289000011</t>
  </si>
  <si>
    <t>Thomas, AL; Henderson, GM; Robinson, LF</t>
  </si>
  <si>
    <t>Interpretation of the 231Pa/230Th paleo circulation proxy:: New water-column measurements from the southwest Indian Ocean</t>
  </si>
  <si>
    <t>thorium; protactinium; seawater; Indian Ocean; ocean circulation</t>
  </si>
  <si>
    <t>THERMOHALINE CIRCULATION; BENTHIC FORAMINIFERA; PARTICLE COMPOSITION; GENERALIZED-MODEL; TRACE-METALS; PAST CHANGES; HALF-LIVES; TH-230; PA-231; VENTILATION</t>
  </si>
  <si>
    <t>Measurements of Pa-231, Th-230 and Th-232 concentrations have been made on five water-column profiles along the western margin of the Madagascar and Mascarene Basins in the southern Indian Ocean. These measurements help to fill a significant gap in the global coverage of water-column Th-232, Th-230 and Pa-231 data. Th-232 concentrations vary, but generally increase with depth, suggesting higher particle loading in deeper waters, and the presence of a significant dissolved fraction of Th-232. Th-230 concentrations increase with depth, and profiles are similar to the average of existing data from other regions. Pa-232 concentrations, on the other hand, show significant depth structure, apparently reflecting the various water masses sampled at this location. The modified remnants of North Atlantic Deep Water are found at a depth of approximate to 2000 in and exhibit elevated Pa-231 concentrations exported from the South Atlantic. Antarctic Intermediate and Bottom Waters have lower Pa-231, probably due to scavenging onto opal particles during transit from the Southern Ocean. The differences between water masses raises a question: which water mass is important in controlling the (231)pa/Th-230 ratio in underlying sediments? A simple one-dimensional model is used to demonstrate that the Th-230 and Pa-231 exported to sea-floor sediments last equilibrates with waters close to the seafloor (within approximate to 1000 in), rather than averaging the whole water column. These findings suggest that Pa-231(xs)/Th-230(xs) in sediments provides information primarily about deep-water masses. In this region, sedimentary records will therefore provide information about the past flow of Antarctic Bottom Water into the Indian Ocean. Interpretation of data from other regions, such as the North Atlantic where this proxy has most successfully been applied, requires careful consideration of regional oceanography and knowledge of the composition of the water masses being investigated. (c) 2005 Elsevier B.V All rights reserved.</t>
  </si>
  <si>
    <t>Univ Oxford, Dept Earth Sci, Oxford OX1 3PR, England; CALTECH, Pasadena, CA 91125 USA</t>
  </si>
  <si>
    <t>University of Oxford; California Institute of Technology</t>
  </si>
  <si>
    <t>Univ Oxford, Dept Earth Sci, Pk Rd, Oxford OX1 3PR, England.</t>
  </si>
  <si>
    <t>alext@earth.ox.ac.uk</t>
  </si>
  <si>
    <t>Thomas, Alex L/D-1028-2012</t>
  </si>
  <si>
    <t>Thomas, Alexander/0000-0002-0734-9593; Henderson, Gideon/0000-0002-6279-7137; Robinson, Laura/0000-0001-6811-0140</t>
  </si>
  <si>
    <t>NERC [NE/D012546/1] Funding Source: UKRI; Natural Environment Research Council [NE/D012546/1] Funding Source: researchfish</t>
  </si>
  <si>
    <t>10.1016/j.epsl.2005.11.031</t>
  </si>
  <si>
    <t>WOS:000235289000012</t>
  </si>
  <si>
    <t>Clift, PD</t>
  </si>
  <si>
    <t>Controls on the erosion of Cenozoic Asia and the flux of clastic sediment to the ocean</t>
  </si>
  <si>
    <t>erosion; Asia; cenozoic; climate; monsoon</t>
  </si>
  <si>
    <t>SOUTH CHINA SEA; STABLE-ISOTOPE EVIDENCE; CLIMATE-CHANGE; ACCUMULATION RATES; TECTONIC CONTROL; EAST-ASIA; INDUS FAN; MYR AGO; EVOLUTION; MONSOON</t>
  </si>
  <si>
    <t>Rates of continental erosion may be reconstructed from variations in the rate of accumulation of elastic sediment, most of which lies offshore. Global rates of marine sedimentation are usually considered to have reached a maximum after 3-4 Ma, driven by enhanced erosion in a variable glacial-interglacial climate. However, a new compilation of seismic data from the marginal seas of Asia now shows that only the Red River reached its historic peak after 4 Ma. Sediment flux from Asia first peaked in the earlymiddle Miocene (24-11 Ma), well before the initiation of a glacial climate, indicating that rock uplift and especially precipitation are the key controls on erosion, at least over long periods of geologic time. Reconstructions of weathering in East Asia show that faster erosion correlates with more humid, warm climates in the early-middle Miocene, changing to less erosive, drier climates after 14 Ma when Antarctic glaciation begins. Average rates of sedimentation on most cast Asian continental margins since 1.8 Ma are 5-6 times less than the modem fluvial flux, implying that the flux to the oceans varies sharply on short timescales and is not always buffered over tirnescales of similar to 10(4) yr by storage in flood plains. (c) 2005 Elsevier B.V. All rights reserved.</t>
  </si>
  <si>
    <t>Univ Aberdeen, Sch Geosci, Kings Coll, Aberdeen AB24 3UE, Scotland</t>
  </si>
  <si>
    <t>University of Aberdeen</t>
  </si>
  <si>
    <t>Clift, PD (corresponding author), Univ Aberdeen, Sch Geosci, Kings Coll, Meston Bldg, Aberdeen AB24 3UE, Scotland.</t>
  </si>
  <si>
    <t>pclift@abdn.ac.uk</t>
  </si>
  <si>
    <t>Clift, Peter/JWO-3915-2024; Clift, Peter D/A-8972-2012</t>
  </si>
  <si>
    <t>10.1016/j.epsl.2005.11.028</t>
  </si>
  <si>
    <t>WOS:000235289000018</t>
  </si>
  <si>
    <t>Llubes, M; Lanseau, C; Rémy, F</t>
  </si>
  <si>
    <t>Relations between basal condition, subglacial hydrological networks and geothermal flux in Antarctica</t>
  </si>
  <si>
    <t>Antarctica; geothermal flux; subglacial hydrological networks</t>
  </si>
  <si>
    <t>HEAT-FLOW; ICE-SHEET; DOME-C; GRAVITY; BENEATH; BALANCE; BASIN; CRUST; MODEL; LAKES</t>
  </si>
  <si>
    <t>When modelling the Antarctic ice sheet, the velocity of the ice flow is linked to its temperature. Depending on the thermal rate, the flow rate may vary between deformation and sliding. In this study, we focus on the geothermal flux because it is the least well-known component of the heat equation, and because it constrains the temperature at the bottom of the ice sheet. We used available geological data to build a map of the geothermal flux, which was found to increase from 51 mW/m(2) in East Antarctica to 68 mW/m(2) in West Antarctica. These values were integrated in the computation of a basal temperature map. The available map of hydrological networks clearly shows more melted areas in West Antarctica than in the earlier results. So we suggest that the model should be forced with higher geothermal flux values, over 85 mW/m(2) in this sector. This increase is in good agreement with published results which found a geothermal flux three times higher in West Antarctica. Finally, we computed the bottom melt rate over the ice sheet area which has a mean value of 3.5 mm/yr resulting in a lost of melted ice equal to 1% of the total mass balance. (c) 2005 Elsevier B.V. All rights reserved.</t>
  </si>
  <si>
    <t>UPS, IRD, CNRS, CNES,LEGOS, F-31401 Toulouse 9, France</t>
  </si>
  <si>
    <t>Universite de Toulouse; Universite Toulouse III - Paul Sabatier; Centre National de la Recherche Scientifique (CNRS); Institut de Recherche pour le Developpement (IRD); Laboratoire d'Etudes en Geophysique et oceanographie spatiales</t>
  </si>
  <si>
    <t>UPS, IRD, CNRS, CNES,LEGOS, 18 Av Edouard Belin, F-31401 Toulouse 9, France.</t>
  </si>
  <si>
    <t>llubes@notos.cst.cnes.fr; lanseau.cedric@caramail.com; remy@notos.cst.cnes.fr</t>
  </si>
  <si>
    <t>10.1016/j.epsl.2005.10.040</t>
  </si>
  <si>
    <t>WOS:000235289000025</t>
  </si>
  <si>
    <t>Kawagata, S; Hayward, BW; Gupta, AK</t>
  </si>
  <si>
    <t>Benthic foraminiferal extinctions linked to late Pliocene-Pleistocene deep-sea circulation changes in the northern Indian Ocean (ODP Sites 722 and 758)</t>
  </si>
  <si>
    <t>late Pliocene-Pleistocene; extinction of deep-sea foraminifera; deep-sea circulation; northern Indian Ocean</t>
  </si>
  <si>
    <t>MIDPLEISTOCENE CLIMATE TRANSITION; WATER CIRCULATION; PALEOCEANOGRAPHIC CHANGES; HEMISPHERE GLACIATION; EQUATORIAL PACIFIC; ORGANIC-MATTER; BOTTOM-WATER; ARABIAN SEA; ATLANTIC; RECORD</t>
  </si>
  <si>
    <t>During the late Pliocene-middle Pleistocene, 63 species of elongate, bathyal-upper abyssal benthic foraminifera (Extinction Group = Stilostomellidae, Pleurostomellidae, some Nodosariidae) declined in abundance and finally disappeared in the northern Indian Ocean (ODP Sites 722, 758), as part of the global extinction of at least 88 related species at this time. The detailed record of withdrawal of these species differs by depth and geography in the Indian Ocean. In northwest Indian Ocean Site 722 (2045 m), the Extinction Group of 54 species comprised 2-15% of the benthic foraminiferal fauna in the earliest Pleistocene, but declined dramatically during the onset of the mid-Pleistocene Transition (MPT) at 1.2-1.1 Ma, with all but three species disappearing by the end of the NIPT (similar to 0.6 Ma). In northeast Indian Ocean Site 758 (2925 m), the Extinction Group of 44 species comprised 1-5% of the benthic foraminiferal fauna at similar to 3.3-2.6 Ma, but declined in abundance and diversity in three steps, at similar to 2.5, 1.7, and 1.2 Ma, with all but one species disappearing by the end of the MPT. At both sites there are strong positive correlations between the accumulation rate of the Extinction Group and proxies indicating low-oxygen conditions with a high organic carbon input. In both sites, there was a pulsed decline in Extinction Group abundance and species richness, especially in glacial periods, with some partial recoveries in interglacials. We infer that the glacial declines at the deeper Site 758 were a result of increased production of colder, well-ventilated Antarctic Bottom Water (AABW), particularly in the late Pliocene and during the NIPT. The Extinction Group at shallower water depths (Site 722) were not impacted by the deeper water mass changes until the onset of the MPT, when cold, well-ventilated Glacial North Atlantic Intermediate Water (GNAIW) production increased and may have spread into the Indian Ocean. Increased chemical ventilation at various water depths since late Pliocene, particularly in glacial periods, possibly in association with decreased or more fluctuating organic carbon flux, might be responsible for the pulsed global decline and extinction of this rather specialised group of benthic foraminifera. (c) 2005 Elsevier B.V. All rights reserved.</t>
  </si>
  <si>
    <t>Geomarine Res, Auckland, New Zealand; Indian Inst Technol, Dept Geol &amp; Geophys, Kharagpur 721302, W Bengal, India</t>
  </si>
  <si>
    <t>Indian Institute of Technology System (IIT System); Indian Institute of Technology (IIT) - Kharagpur</t>
  </si>
  <si>
    <t>Geomarine Res, 49 Swainston Rd, Auckland, New Zealand.</t>
  </si>
  <si>
    <t>s.kawagata@geomarine.org.nz</t>
  </si>
  <si>
    <t>HAYWARD, BRUCE W/AAG-2597-2019</t>
  </si>
  <si>
    <t>Gupta, Anil/0000-0003-0536-3911; Hayward, Bruce W./0000-0003-1302-7686; Kawagata, Shungo/0000-0001-6147-9690</t>
  </si>
  <si>
    <t>JAN 30</t>
  </si>
  <si>
    <t>10.1016/j.marmicro.2005.11.003</t>
  </si>
  <si>
    <t>013WR</t>
  </si>
  <si>
    <t>WOS:000235441200004</t>
  </si>
  <si>
    <t>Williams, M; Leng, MJ; Stephenson, MH; Andrews, JE; Wilkinson, IP; Siveter, DJ; Horne, DJ; Vannier, JMC</t>
  </si>
  <si>
    <t>Evidence that Early Carboniferous ostracods colonised coastal flood plain brackish water environments</t>
  </si>
  <si>
    <t>carboniferous; ostracods; coastal flood plain palaeoenvironment</t>
  </si>
  <si>
    <t>NEW-YORK-STATE; BALLAGAN FORMATION; PALEOENVIRONMENTAL SIGNIFICANCE; MICROBIAL CARBONATES; MIDLAND VALLEY; ORDOVICIAN; INDICATORS; SCOTLAND; BIOSTRATIGRAPHY; BALTOSCANDIA</t>
  </si>
  <si>
    <t>A study of the stable isotope composition (delta O-18, delta C-13) of biogenic (ostracod, mollusc) and authigenic carbonates in the Ballagan Formation, Lower Carboniferous of Scotland, coupled with evidence from sedimentology and associated fossil fauna and flora, supports the argument that this formation was deposited in a coastal flood plain setting, in brackish (0.5 &lt; 30 parts per thousand NaCl) and hypersaline (&gt; 40 parts per thousand NaCl) waters, but in the absence of persistent normal marine conditions. The oxygen isotope data from the Ballagan Formation divide into three clusters: a diagenetic field defined by low delta O-18 (&lt; - 11 parts per thousand VPDB); an intermediary field (delta O-18 - 11 parts per thousand to - 9 parts per thousand) composed of a mixture of known primary and secondary (diagenetic) carbonates; and samples within the range of -9 parts per thousand to -4 parts per thousand which, as far as we can ascertain, are largely unaltered. No samples give typical Early Carboniferous delta O-18 marine values. Average marine carbonates from Europe have delta O-18 between -4 parts per thousand to - 3 parts per thousand. The Ballagan Formation carbonates were probably deposited in evaporated freshwater and/or brackish water. This conclusion is supported by the presence of evaporites (gypsum, anhydrite, halite pseudomorphs) and common desiccation-cracked mudstone surfaces throughout the Ballagan Formation, suggesting conditions of fluctuating salinity in ephemeral bodies of water. The stable isotope data support the notion that the ostracod assemblages of the Ballagan Formation were colonising brackish water and hypersaline ecologies on a coastal flood plain during the Early Carboniferous, a stage of development that may have encouraged their colonisation of fully non-marine (limnetic) environments during the later Carboniferous. The ostracods include cytherellacean and kloedenellacean species known from marginal marine sites elsewhere, but probably tolerant of brackish water, podocopid species such as 'Bythocypris' aequalis that may have been adapted for brackish water settings on coastal flood plains (ephemeral lakes and lagoons), and paraparchitacean-dominated assemblages that may signal harsh (hypersaline or desiccating) environments. (c) 2005 Elsevier B.V. All rights reserved.</t>
  </si>
  <si>
    <t>British Antarctic Survey, Geol Sci Div, Cambridge CB2 0ET, England; British Geol Survey, NERC, Isotope Geosci Lab, Keyworth NG12 5GG, Notts, England; Univ Nottingham, Sch Geog, Nottingham NG7 2RD, England; British Geol Survey, Keyworth NG12 5GG, Notts, England; Univ E Anglia, Sch Environm Sci, Norwich NR4 7TJ, Norfolk, England; Univ Leicester, Dept Geol, Leicester LE1 7RH, Leics, England; Queen Mary Univ London, Dept Geog, London E1 4NS, England; Univ Lyon 1, UFR Sci Terre, UMR 5125 PEPS, CNRS, F-69622 Villeurbanne, France</t>
  </si>
  <si>
    <t>UK Research &amp; Innovation (UKRI); Natural Environment Research Council (NERC); NERC British Antarctic Survey; UK Research &amp; Innovation (UKRI); Natural Environment Research Council (NERC); NERC British Geological Survey; University of Nottingham; UK Research &amp; Innovation (UKRI); Natural Environment Research Council (NERC); NERC British Geological Survey; University of East Anglia; University of Leicester; University of London; Queen Mary University London; Universite Claude Bernard Lyon 1; Centre National de la Recherche Scientifique (CNRS)</t>
  </si>
  <si>
    <t>Williams, M (corresponding author), Univ Portsmouth, Sch Earth &amp; Environm Sci, Burnaby Bldg, Portsmouth PO1 3QL, Hants, England.</t>
  </si>
  <si>
    <t>Andrews, Julian E/B-5306-2008; Williams, Mark/B-7590-2009</t>
  </si>
  <si>
    <t>Horne, David J./0000-0002-2148-437X; Williams, Mark/0000-0002-7987-6069; Leng, Melanie/0000-0003-1115-5166</t>
  </si>
  <si>
    <t>NERC [bas010011, nigl010001, bgs03002] Funding Source: UKRI; Natural Environment Research Council [bas010011, nigl010001, bgs03002] Funding Source: researchfish</t>
  </si>
  <si>
    <t>10.1016/j.palaeo.2005.07.021</t>
  </si>
  <si>
    <t>011HX</t>
  </si>
  <si>
    <t>WOS:000235260100008</t>
  </si>
  <si>
    <t>Armstrong, HA; Turner, BR; Makhlouf, IM; Weedon, GP; Williams, M; Al Smadi, A; Abu Salah, A</t>
  </si>
  <si>
    <t>Reply to Origin, sequence stratigraphy and depositional environment of an upper Ordovician (Hirnantian) deglacial black shale, Jordan</t>
  </si>
  <si>
    <t>Hirnatian glaciation; black shale; sequence stratigraphy; Jordan</t>
  </si>
  <si>
    <t>GLACIATION; RECORD; OCEAN</t>
  </si>
  <si>
    <t>Univ Durham, Sci Labs, Dept Earth Sci, Durham DH1 3LE, England; Hashemite Univ, Dept Earth &amp; Environm Sci, Zarqa, Jordan; Univ Luton, Ctr Environm Change, Luton LU1 3JU, Beds, England; British Antarctic Survey, Cambridge CB3 0ET, England; Nat Resources Author, Amman 11118, Jordan</t>
  </si>
  <si>
    <t>Durham University; Hashemite University; University of Bedfordshire; UK Research &amp; Innovation (UKRI); Natural Environment Research Council (NERC); NERC British Antarctic Survey</t>
  </si>
  <si>
    <t>Univ Durham, Sci Labs, Dept Earth Sci, Durham DH1 3LE, England.</t>
  </si>
  <si>
    <t>h.a.armstrong@durham.ac.uk</t>
  </si>
  <si>
    <t>Smadi, Ahmad/E-3168-2013; Weedon, Graham/JCE-1078-2023; Weedon, Graham P./B-7574-2008; Williams, Mark/B-7590-2009</t>
  </si>
  <si>
    <t>Weedon, Graham P./0000-0003-1262-9984; Williams, Mark/0000-0002-7987-6069</t>
  </si>
  <si>
    <t>10.1016/j.palaeo.2005.10.005</t>
  </si>
  <si>
    <t>WOS:000235260100012</t>
  </si>
  <si>
    <t>Petkaki, P; Freeman, MP; Kirk, T; Watt, CEJ; Horne, RB</t>
  </si>
  <si>
    <t>Anomalous resistivity and the nonlinear evolution of the ion-acoustic instability</t>
  </si>
  <si>
    <t>HYBRID-DRIFT INSTABILITY; ELECTROSTATIC SOLITARY WAVES; THIN CURRENT SHEETS; MAGNETIC RECONNECTION; DAYSIDE MAGNETOPAUSE; PLASMA-WAVES; SIMULATIONS; TURBULENCE; TRANSPORT; COMPUTER</t>
  </si>
  <si>
    <t>[1] Collisionless magnetic reconnection requires the violation of ideal MHD by various kinetic-scale effects whose relative importance is uncertain. Recent research has highlighted the potential importance of wave-particle interactions by showing that Vlasov simulations of unstable ion-acoustic waves predict an anomalous resistivity that can be at least an order of magnitude higher than a popular analytical quasi-linear estimate. Here, we investigate the nonlinear evolution of the ion-acoustic instability and its resulting anomalous resistivity by examining the properties of a statistical ensemble of Vlasov simulations. The simulations differ in their initial electric noise field but are otherwise identical with a Maxwellian electron-ion plasma of low number density and low electron to ion temperature ratio, appropriate to collisionless space plasmas. By studying the evolution of an ensemble of 104 Vlasov simulations with reduced mass ratio m(i)/m(e) = 25, we show that ( 1) the probability distribution of anomalous resistivity values produced during the linear, quasi-linear, and nonlinear evolution of the ion-acoustic instability is approximately Gaussian, ( 2) the ensemble mean of the ion-acoustic resistivity during the nonlinear regime is higher than estimates at quasi-linear saturation, and ( 3) the ensemble standard deviation is comparable to the ensemble mean. We argue that the large variability during the nonlinear phase is due to electron and ion bounce motion which is sensitive to the initial conditions. We demonstrate that the results are essentially similar for a real mass ratio simulation.</t>
  </si>
  <si>
    <t>British Antarctic Survey, Cambridge CB3 0ET, England; Univ Cambridge Emmanuel Coll, Cambridge CB2 3AP, England; Univ Alberta, Dept Phys, Edmonton, AB T6G 2J1, Canada</t>
  </si>
  <si>
    <t>UK Research &amp; Innovation (UKRI); Natural Environment Research Council (NERC); NERC British Antarctic Survey; University of Cambridge; University of Alberta</t>
  </si>
  <si>
    <t>ppe@bas.ac.uk</t>
  </si>
  <si>
    <t>Horne, Richard B/U-3764-2019; Freeman, Mervyn/E-5687-2019; Watt, Clare/C-5218-2008</t>
  </si>
  <si>
    <t>Horne, Richard B/0000-0002-0412-6407; Freeman, Mervyn/0000-0002-8653-8279; Watt, Clare/0000-0003-3193-8993</t>
  </si>
  <si>
    <t>NERC [bas010004, bas010021] Funding Source: UKRI; Natural Environment Research Council [bas010004, bas010021] Funding Source: researchfish</t>
  </si>
  <si>
    <t>JAN 27</t>
  </si>
  <si>
    <t>A1</t>
  </si>
  <si>
    <t>A01205</t>
  </si>
  <si>
    <t>10.1029/2004JA010793</t>
  </si>
  <si>
    <t>008GS</t>
  </si>
  <si>
    <t>WOS:000235028800001</t>
  </si>
  <si>
    <t>van den Broeke, M; van de Berg, WJ; van Meijgaard, E</t>
  </si>
  <si>
    <t>Snowfall in coastal West Antarctica much greater than previously assumed</t>
  </si>
  <si>
    <t>SURFACE MASS-BALANCE; ICE SHELF; SOUTHERN-HEMISPHERE; PENINSULA; RETREAT; TRENDS</t>
  </si>
  <si>
    <t>A new Antarctic accumulation distribution, based on regional model output calibrated with 1900 in-situ observations, is used to re-assess accumulation in 24 Antarctic ice drainage basins. When compared to the previous compilation, good agreement is found for 19 of the 24 basins, representing 93% of the ice sheet that is reasonably well covered with observations. In contrast, the Amundsen Sea sector of West Antarctica and the western Antarctic Peninsula, both data sparse regions, are found to receive 80-96% more accumulation than previously assumed. For the Pine Island and Thwaites Glaciers ( West Antarctica), which have recently undergone rapid acceleration and thinning, this means a downward adjustment of their contribution to global sea level rise from 0.24 to 0.14 mm per year. Model time series do not show a significant change in Antarctic accumulation over the period 1980-2004. Citation: van den Broeke, M., W. J. van de Berg, and E. van Meijgaard ( 2006), Snowfall in coastal West Antarctica much greater than previously assumed, Geophys. Res. Lett., 33, L02505, doi:10.1029/2005GL025239.</t>
  </si>
  <si>
    <t>Univ Utrecht, Inst Marine &amp; Atmospher Res, NL-3508 TA Utrecht, Netherlands; Royal Netherlands Meteorol Inst, NL-3730 AE De Bilt, Netherlands</t>
  </si>
  <si>
    <t>Univ Utrecht, Inst Marine &amp; Atmospher Res, POB 80005, NL-3508 TA Utrecht, Netherlands.</t>
  </si>
  <si>
    <t>broeke@phys.uu.nl</t>
  </si>
  <si>
    <t>van de Berg, Willem Jan/H-4385-2011; Van den Broeke, Michiel R./F-7867-2011</t>
  </si>
  <si>
    <t>van de Berg, Willem Jan/0000-0002-8232-2040; Van den Broeke, Michiel R./0000-0003-4662-7565</t>
  </si>
  <si>
    <t>JAN 26</t>
  </si>
  <si>
    <t>L02505</t>
  </si>
  <si>
    <t>10.1029/2005GL025239</t>
  </si>
  <si>
    <t>008FO</t>
  </si>
  <si>
    <t>WOS:000235025800007</t>
  </si>
  <si>
    <t>Lannuzel, D; de Jong, J; Schoemann, V; Trevena, A; Tison, JL; Chou, L</t>
  </si>
  <si>
    <t>Development of a sampling and flow injection analysis technique for iron determination in the sea ice environment</t>
  </si>
  <si>
    <t>ANALYTICA CHIMICA ACTA</t>
  </si>
  <si>
    <t>iron; FIA; sea ice; direct measurement; chemiluminescence</t>
  </si>
  <si>
    <t>CHEMILUMINESCENCE DETECTION; SHIPBOARD DETERMINATION; SUBNANOMOLAR LEVELS; DISSOLVED IRON; SURFACE WATERS; TRACE-METALS; WEDDELL SEA; SEAWATER; LUMINOL; FE(II)</t>
  </si>
  <si>
    <t>A trace metal clean method for sampling and analysis of iron is set up and applied to sea ice and its associated snow. brine, and underlying seawater sampled during the Antarctic expedition ARISE in the East (Antarctic Remote Ice Sensing Experiment, AA03-V1, September-October 2003, 64-65 degrees S/112-119 degrees E, RV Aurora Australis). For clean sampling, a non-contaminating electropolished stainless steel ice corer is designed in conjunction with a polyethylene lathe equipped with Ti chisels to remove possibly contaminated outer layers of ice cores, A portable peristaltic pump with clean tubing is used on the ice to sample the underlying seawater (interface ice-water = 0.1 and 30 m) and sea ice brine from access holes. Considering the extreme range of salinities (1-100) and Fe concentrations (0.1-100 nM) previously observed in similar environments, it is of paramount importance to set up a simple and sensitive Fe analyser adapted to such gradients. We use a flow injection analysis (FIA) technique and successfully demonstrate its capability to measure Fe concentrations directly in the sample without an on-line preconcentration/matrix separation step. We test the sensitivity, accuracy, precision and long-term stability of the analytical procedure, Also we explore and remediate interferences from a suite of other trace elements, such as Ni, Cd, Cr, Mn, Cu, Zn and Co. Analysis of reference materials NASS-5 and CASS-3 gives a good agreement with the certified values. Repeated measurements over a period of 5 months of an in-house Antarctic seawater standard yields a concentration of 1.02 +/- 0.07 nM (n = 17, 1 sigma). The detection limit (3 sigma of the blank) is on average 0.12 nM. We report here results of the Fe distribution in sea ice that are in good agreement with previously published data. To our knowledge, this work provides the first complete profiles of total dissolvable and dissolved Fe in sea ice. (c) 2005 Elsevier B.V. All rights reserved.</t>
  </si>
  <si>
    <t>Univ Libre Bruxelles, Lab Oceanog Chim &amp; Geochim Eaux, B-1050 Brussels, Belgium; Univ Libre Bruxelles, Unite Glaciol, B-1050 Brussels, Belgium</t>
  </si>
  <si>
    <t>Universite Libre de Bruxelles; Universite Libre de Bruxelles</t>
  </si>
  <si>
    <t>Lannuzel, D (corresponding author), Univ Libre Bruxelles, Lab Oceanog Chim &amp; Geochim Eaux, Campus Plaine CP208,Bd Triomphe, B-1050 Brussels, Belgium.</t>
  </si>
  <si>
    <t>dlannuze@ulb.ac.be</t>
  </si>
  <si>
    <t>de Jong, Jeroen/F-3190-2011; lannuzel, delphine/J-7937-2014; Tison, Jean-Louis/F-4065-2015</t>
  </si>
  <si>
    <t>de Jong, Jeroen/0000-0002-3034-5929; lannuzel, delphine/0000-0001-6154-1837; Tison, Jean-Louis/0000-0002-9758-3454</t>
  </si>
  <si>
    <t>0003-2670</t>
  </si>
  <si>
    <t>ANAL CHIM ACTA</t>
  </si>
  <si>
    <t>Anal. Chim. Acta</t>
  </si>
  <si>
    <t>JAN 25</t>
  </si>
  <si>
    <t>10.1016/j.aca.2005.09.059</t>
  </si>
  <si>
    <t>004CN</t>
  </si>
  <si>
    <t>WOS:000234729700030</t>
  </si>
  <si>
    <t>Casper, RM; Gales, NJ; Hindell, MA; Robinson, SM</t>
  </si>
  <si>
    <t>Diet estimation based on an integrated mixed prey feeding experiment using Arctocephalus seals</t>
  </si>
  <si>
    <t>Arctocephalus; diet estimation; feeding experiment; fur seal; scats</t>
  </si>
  <si>
    <t>ANTARCTIC FUR SEALS; SOUTH SHETLAND ISLANDS; KING-GEORGE-ISLAND; HARBOR SEAL; EUMETOPIAS-JUBATUS; FISH PREY; ASSIMILATION EFFICIENCY; GENERALIST PREDATOR; TEMPORAL VARIATION; AMSTERDAM ISLAND</t>
  </si>
  <si>
    <t>Food web models depend on identifying which taxa, are eaten and in what proportion they are consumed. Arctocephalus seals are generalist foragers and are an ongoing focus of Southern Hemisphere marine ecosystem research. This is the first feeding experiment to use Arctocephalus spp. to assess the utility of hard part scat analysis for diet estimation, based on mixed prey diets integrated over several days. Recovery rates of otoliths were extremely low for all taxa (0-9%). Although we could not collect scats produced during a 90 min period each day, during which the seals had access to a large pool, this result could not be attributed to otolith robustness, pinniped species or class, activity level, meal size or frequency, or fat content of the diet. We conclude that the unusually low recovery rates in this study may be due to unaccounted scats produced during 90 min of each day, if they contained otolith numbers an order of magnitude greater than all otoliths retrieved from scats produced during the other 22.5 h of each day, and/or may be related to the digestive processing of a mixed prey diet. Our study demonstrates the inadequacy of using otoliths in field collected scats for diet estimation due to the high level of unexplained variability of otolith occurrence in scats. We also identify two new potential sources of this variability. These are variability in numbers of otoliths per scat depending on activity level when a scat is excreted, and variability in recovery rates of otoliths as a function of the complexity of the diet. (c) 2005 Elsevier B.V. All rights reserved.</t>
  </si>
  <si>
    <t>Australian Antarctic Div, Appl Marine Mammal Ecol Grp, Kingston, Tas 7050, Australia; Univ Tasmania, Sch Zool, Antarctic Wildlife Res Unit, Hobart, Tas 7001, Australia</t>
  </si>
  <si>
    <t>Casper, RM (corresponding author), Australian Antarctic Div, Appl Marine Mammal Ecol Grp, 203 Channel Highway, Kingston, Tas 7050, Australia.</t>
  </si>
  <si>
    <t>Ruth.Casper@aad.gov.au</t>
  </si>
  <si>
    <t>Hindell, Mark A/C-8368-2013; Hindell, Mark A/K-1131-2013</t>
  </si>
  <si>
    <t>Hindell, Mark/0000-0002-7823-7185</t>
  </si>
  <si>
    <t>JAN 24</t>
  </si>
  <si>
    <t>10.1016/j.jembe.2005.07.009</t>
  </si>
  <si>
    <t>006CF</t>
  </si>
  <si>
    <t>WOS:000234872000006</t>
  </si>
  <si>
    <t>Spatiotemporal variations of snowmelt in Antarctica derived from satellite scanning multichannel microwave radiometer and Special Sensor Microwave Imager data (1978-2004)</t>
  </si>
  <si>
    <t>ICE SHELVES; MELT EXTENT; BREAK-UP; IN-SITU; SHEET; PENINSULA; DURATION; CLIMATE; TEMPERATURES; VARIABILITY</t>
  </si>
  <si>
    <t>We derived the extent, onset date, end date, and duration of snowmelt in Antarctica from 1978 to 2004 using satellite passive microwave scanning multichannel microwave radiometer (SMMR) and Special Sensor Microwave Imager (SSM/I) data. A wavelet-transform-based method was developed to determine and characterize melt occurrences. About 9-12% of the Antarctic surface experiences melt annually. This is more than twice the surface melt extent measured in Greenland. Seasonally, surface melt primarily takes place in December, January, and February and peaks in early January. Regression analysis over the 25 year period of study reveals a negative interannual trend in surface melt. Nevertheless, the trend inference is not statistically significant. Large year-to-year fluctuations characterize the interannual variability. Extremely high melt occurred in the 1982/1983 and 1991/1992 summers, while extremely weak melt occurred in the 1999/2000 summer. A strong correlation with air temperature suggests that the melt index can serve as a diagnostic indicator for regional temperature variations. Periodic melting has been observed over Ross Ice Shelf, Ronne-Filchner Ice Shelf, the West Antarctic ice streams, and outlet glaciers in the Transantarctic Mountains. The Antarctic Peninsula, West Ice Shelf, Shackleton Ice Shelf, Amery Ice Shelf, and the ice shelf along the Princess Ragnhild Coast experienced the most persistent and intensive melt and should be closely monitored for their stability in the future, given the recent disintegration of the Larsen Ice Shelf A and B.</t>
  </si>
  <si>
    <t>Texas A&amp;M Univ, Dept Geog, College Stn, TX 77843 USA.</t>
  </si>
  <si>
    <t>JAN 21</t>
  </si>
  <si>
    <t>F01003</t>
  </si>
  <si>
    <t>10.1029/2005JF000318</t>
  </si>
  <si>
    <t>007VT</t>
  </si>
  <si>
    <t>WOS:000234999700001</t>
  </si>
  <si>
    <t>Harangozo, SA</t>
  </si>
  <si>
    <t>Atmospheric circulation impacts on winter maximum sea ice extent in the west Antarctic Peninsula region (1979-2001)</t>
  </si>
  <si>
    <t>MERIDIONAL CIRCULATION; OCEAN; HEMISPHERE; RETREAT; CLIMATE; MOTION; SECTOR; BUOY</t>
  </si>
  <si>
    <t>Increasing evidence exists that the strong warming of the West Antarctic Peninsula (WAP) region since the 1950s is related to reduced sea ice that is likely to be due to changes in the atmospheric circulation. Over twenty years of sea ice extent, ice motion and reanalysed near-surface wind data are used to establish that winter ice extent in the West Antarctic Peninsula (WAP) region is largely determined by the meridional (north-south) atmospheric circulation. A remarkably strong ice extent-wind relationship is found in the WAP. No other Antarctic or comparable sub-Arctic sea ice region shows this. Ice motion data confirm wind-induced drift is crucial for extensive winter ice to occur. Reasons for winter ice extent and winds being more strongly correlated in the WAP than in other parts of the Antarctic are discussed along with implications for understanding the observed warming.</t>
  </si>
  <si>
    <t>Harangozo, SA (corresponding author), British Antarctic Survey, Nat Environm Res Council, Cambridge CB3 0ET, England.</t>
  </si>
  <si>
    <t>sah@pcmail.nbs.ac.uk</t>
  </si>
  <si>
    <t>JAN 20</t>
  </si>
  <si>
    <t>L02502</t>
  </si>
  <si>
    <t>10.1029/2005GL024978</t>
  </si>
  <si>
    <t>007VH</t>
  </si>
  <si>
    <t>WOS:000234998400005</t>
  </si>
  <si>
    <t>Landais, A; Waelbroeck, C; Masson-Delmotte, V</t>
  </si>
  <si>
    <t>On the limits of Antarctic and marine climate records synchronization: Lag estimates during marine isotopic stages 5d and 5c</t>
  </si>
  <si>
    <t>LAST GLACIAL PERIOD; DEEP-WATER TEMPERATURE; VOSTOK ICE CORE; SEA-LEVEL; NORTH-ATLANTIC; GREENLAND ICE; POLAR ICE; SUBSTAGE 5E; SCALE; CYCLE</t>
  </si>
  <si>
    <t>North Atlantic sediment records (MD95-2042), Greenland (Greenland Ice Core Project (GRIP)) and Antarctica (Byrd and Vostok) ice core climate records have been synchronized over marine isotopic stage 3 (MIS 3) (64 to 24 kyr B. P.) (Shackleton et al., 2000). The resulting common timescale suggested that MD95-2042 delta(18)O(benthic) fluctuations were synchronous with temperature changes in Antarctica (delta D-ice or delta(18)O(ice) records). In order to assess the persistency of this result we have used here the recent Greenland NorthGRIP ice core covering the last glacial inception. We transfer the Antarctic Vostok GT4 timescale to NorthGRIP delta(18)O(ice) and MD95-2042 delta(18)O(planktonic) records and precisely quantify all the relative timing uncertainties. During the rapid warming of Dansgaard-Oeschger 24, MD95-2042 delta(18)O(benthic) decrease is in phase with delta(18)O(planktonic) decrease and therefore with NorthGRIP temperature increase, but it takes place 1700 +/- 1100 years after the Antarctic warming. Thus the present study reveals that the results obtained previously for MIS 3 cannot be generalized and demonstrates the need to improve common chronologies for marine and polar archives.</t>
  </si>
  <si>
    <t>Inst Pierre Simon Laplace, Lab Sci Climat Environm, F-91191 Gif Sur Yvette, France</t>
  </si>
  <si>
    <t>CEA; Centre National de la Recherche Scientifique (CNRS); Universite Paris Saclay; Universite Paris Cite</t>
  </si>
  <si>
    <t>Landais, A (corresponding author), Hebrew Univ Jerusalem, Inst Earth Sci, IL-91904 Jerusalem, Israel.</t>
  </si>
  <si>
    <t>Masson-Delmotte, Valerie L/G-1995-2011</t>
  </si>
  <si>
    <t>Masson-Delmotte, Valerie L/0000-0001-8296-381X; waelbroeck, claire/0000-0002-7256-5727; LANDAIS, Amaelle/0000-0002-5620-5465</t>
  </si>
  <si>
    <t>PA1001</t>
  </si>
  <si>
    <t>10.1029/2005PA001171</t>
  </si>
  <si>
    <t>007WE</t>
  </si>
  <si>
    <t>WOS:000235000900002</t>
  </si>
  <si>
    <t>Just, J; Wilson, GDF</t>
  </si>
  <si>
    <t>Revision of Southern Hemisphere Austronanus Hodgson, 1910, with two new genera and five new species of Paramunnidae (Crustacea: Isopoda:Asellota)</t>
  </si>
  <si>
    <t>ZOOTAXA</t>
  </si>
  <si>
    <t>Isopoda; Asellota; Paramunnidae; Austronanus complex; southern hemisphere</t>
  </si>
  <si>
    <t>Paramunnid species of Southern Hemisphere cold-water Austronanus Hodgson, 1910 and related genera are characterised by simple, smooth, flattened, rather elongate oval bodies, a broadly projecting frontal head margin, well-developed, short, mostly distally bulging eyestalks with ommatidia, pereonites with lateral margins contiguous, rounded or truncate, and dorsally visible coxae V-VII. Just and Wilson (2004) rejected synonymy of Austronanus with Paramunna Sars proposed by Nordenstam (1933), following a revision of the latter genus. The type species, Austronanus glacialis Hodgson, 1910, is re-described based on topotypic material from McMurdo Sound, Antarctica, (the holotype is a small manca). The types of Paramunna dentata Nordenstam, 1933 and P. dubia Hale, 1937 are re-described and the two species referred to Austronanus together with three new Antarctic and subantarctic species, A. aucklandensis, A. gelidus and A. mawsoni. Paramunna patagoniensis Winkler, 1994 is redescribed and made the type species of a new genus, Xigonus. A new genus, Stephenseniellus, is established for two new species from the subantarctic islands south of New Zealand and Australia, S. palliolatipes (type species) from Macquarie Island, and S. serraticornis (originally reported by Stephensen, 1927 as  Paramunna (serrata (Richardson) ?) from Auckland Island.</t>
  </si>
  <si>
    <t>Museum Trop Queensland, Townsville, Qld 4810, Australia; Australian Museum, Sydney, NSW 2010, Australia</t>
  </si>
  <si>
    <t>Australian Museum</t>
  </si>
  <si>
    <t>Just, J (corresponding author), Museum Trop Queensland, 70-102 Flinders St, Townsville, Qld 4810, Australia.</t>
  </si>
  <si>
    <t>jeanjust@bigpond.com.au</t>
  </si>
  <si>
    <t>Wilson, George D F/E-8527-2012</t>
  </si>
  <si>
    <t>Wilson, George D F/0000-0001-7042-4747</t>
  </si>
  <si>
    <t>MAGNOLIA PRESS</t>
  </si>
  <si>
    <t>AUCKLAND</t>
  </si>
  <si>
    <t>PO BOX 41383, AUCKLAND, ST LUKES 1030, NEW ZEALAND</t>
  </si>
  <si>
    <t>1175-5326</t>
  </si>
  <si>
    <t>1175-5334</t>
  </si>
  <si>
    <t>Zootaxa</t>
  </si>
  <si>
    <t>006JI</t>
  </si>
  <si>
    <t>WOS:000234893400002</t>
  </si>
  <si>
    <t>King, JC; Argentini, SA; Anderson, PS</t>
  </si>
  <si>
    <t>Contrasts between the summertime surface energy balance and boundary layer structure at Dome C and Halley stations, Antarctica</t>
  </si>
  <si>
    <t>DAYTIME MIXED-LAYER; EASTERN ANTARCTICA; APPLIED-MODEL; ADELIE-LAND; PLATEAU; SNOW; CLIMATOLOGY; HEIGHT; CYCLE</t>
  </si>
  <si>
    <t>The Antarctic research stations of Dome C and Halley lie at similar latitudes (similar to 75 degrees S) and are thus subject to similar diurnal variation of solar radiation at the top of the atmosphere. However, the response of the atmospheric boundary layer to this diurnally varying forcing differs greatly at the two stations. At Dome C during summer there is a strong diurnal cycle in near-surface temperature and wind speed, and a shallow (similar to 350 m) convective boundary layer is observed to grow in response to diurnal heating. At Halley, diurnal variations in temperature and wind speed are smaller than those at Dome C, and there is no clear diurnal variability in boundary layer depth. Analysis of the summertime surface energy budget for both stations indicates that the main reason for the different diurnal variability at the two stations is the greater partitioning of available energy into latent heat flux at the warmer Halley station. We argue that the diurnally varying convective boundary layer observed at Dome C will not be typical of the whole of the East Antarctic plateau.</t>
  </si>
  <si>
    <t>British Antarctic Survey, NERC, Cambridge CB3 0ET, England; CNR, Ist Sci Atmosfera &amp; Clima, I-00133 Rome, Italy</t>
  </si>
  <si>
    <t>UK Research &amp; Innovation (UKRI); Natural Environment Research Council (NERC); NERC British Antarctic Survey; Consiglio Nazionale delle Ricerche (CNR); Istituto di Scienze dell'Atmosfera e del Clima (ISAC-CNR)</t>
  </si>
  <si>
    <t>jcki@bas.ac.uk</t>
  </si>
  <si>
    <t>ARGENTINI, STEFANIA/0000-0002-7939-0309</t>
  </si>
  <si>
    <t>JAN 19</t>
  </si>
  <si>
    <t>D2</t>
  </si>
  <si>
    <t>D02105</t>
  </si>
  <si>
    <t>10.1029/2005JD006130</t>
  </si>
  <si>
    <t>007VO</t>
  </si>
  <si>
    <t>WOS:000234999200005</t>
  </si>
  <si>
    <t>Iwao, K; Hirooka, T</t>
  </si>
  <si>
    <t>Dynamical quantifications of ozone minihole formation in both hemispheres</t>
  </si>
  <si>
    <t>STRATOSPHERIC TEMPERATURE; NORTHERN-HEMISPHERE; ANTARCTIC WINTER; POAM-III; RECONSTRUCTION; TRANSPORT; VALIDATION; LATITUDE; EPISODES; EUROPE</t>
  </si>
  <si>
    <t>Transient and localized severe total ozone reduction events, ozone miniholes, have been sometimes observed in both hemispheres. Dynamical contributions to the minihole formation are estimated for 22 events and the mean features are explored in each hemisphere. For the estimation, global distributions of ozone mixing ratio are reconstructed dynamically by using three kinds of satellite ozone data and isentropic distributions of potential vorticity. As a result, most of the total ozone reductions are explained by dynamical processes in both hemispheres. On miniholes in the Northern Hemisphere, about a half of the dynamical reduction of column ozone in the upper troposphere and the stratosphere is due to isentropic transport of ozone-poor air which is poleward around the tropopause and equatorward in the middle stratosphere. The remaining half is explained by loss of air masses in isentropic layers, which is caused by vertical uplift of isentropes in the lower and middle stratosphere. The same type of miniholes is also found in the Southern Hemisphere. The other type in the Southern Hemisphere is caused by displacement or stretching of the Antarctic ozone hole toward midlatitudes, where the total ozone is reduced by the equatorward transport of ozone depleted polar air throughout the stratosphere, while the local uplift of isentropes due to the associated advection of cold temperature also contributes to reduce total ozone.</t>
  </si>
  <si>
    <t>Univ Tokyo, Ctr Climate Syst Res, Chiba 2778568, Japan; Kyushu Univ, Dept Earth &amp; Planetary Sci, Fukuoka 8128581, Japan</t>
  </si>
  <si>
    <t>University of Tokyo; Kyushu University</t>
  </si>
  <si>
    <t>Iwao, K (corresponding author), Univ Tokyo, Ctr Climate Syst Res, 5-1-5 Kashiwanoha, Chiba 2778568, Japan.</t>
  </si>
  <si>
    <t>iwao@ccsr.utokyo.ac.jp; hirook@geo.kyushu-u.ac.jp</t>
  </si>
  <si>
    <t>Hirooka, Toshihiko/T-7599-2019</t>
  </si>
  <si>
    <t>Iwao, Koki/0000-0003-2099-1385</t>
  </si>
  <si>
    <t>JAN 18</t>
  </si>
  <si>
    <t>D02104</t>
  </si>
  <si>
    <t>10.1029/2005JD006333</t>
  </si>
  <si>
    <t>007VM</t>
  </si>
  <si>
    <t>WOS:000234999000003</t>
  </si>
  <si>
    <t>Smedsrud, LH; Jenkins, A; Holland, DM; Nost, OA</t>
  </si>
  <si>
    <t>Modeling ocean processes below Fimbulisen, Antarctica</t>
  </si>
  <si>
    <t>ICE SHELF; SEA-ICE; WATER; PARAMETERIZATION; VARIABILITY; CIRCULATION; TRANSPORT</t>
  </si>
  <si>
    <t>Model simulations of circulation and melting beneath Fimbulisen, Antarctica, obtained using an isopycnic coordinate ocean model, are presented. Model results compare well with available observations of currents and hydrography in the open ocean to the north of Fimbulisen and suggest that Warm Deep Water exists above the level of a sub-ice-shelf bedrock sill, the principal pathway for warm waters to enter the sub-ice-shelf cavity. The model shows a southward inflow of Warm Deep Water over this sill and into the cavity, producing a mean cavity temperature close to -1.0 degrees C. This leads to high levels of basal melting (&gt;10 m/a) at the grounding line of Jutulstraumen and an average melting over the ice shelf base close to 1.9 m/a. The southward inflow is a compensating flow caused by the northward outflow of fresh, cold water produced by the basal melting. Results on inflow and melting are difficult to validate since no in situ measurements yet exist in the cavity. If such high melt rates are realistic, the mass balance of Fimbulisen must be significantly negative, and the ice shelves along Dronning Maud Land must contribute about 4.4 mSv of melt water to the Weddell Sea, about 15% of the total Antarctic meltwater input to the Southern Ocean.</t>
  </si>
  <si>
    <t>Univ Bergen, Inst Geophys, N-5007 Bergen, Norway; Univ Bergen, Bjerknes Ctr Climate Res, Bergen, Norway; British Antarctic Survey, Cambridge CB3 0ET, England; NYU, Courant Inst Math Sci, New York, NY 10012 USA; Norwegian Polar Res Inst, N-9296 Tromso, Norway</t>
  </si>
  <si>
    <t>University of Bergen; Bjerknes Centre for Climate Research; University of Bergen; UK Research &amp; Innovation (UKRI); Natural Environment Research Council (NERC); NERC British Antarctic Survey; New York University; Norwegian Polar Institute</t>
  </si>
  <si>
    <t>Univ Bergen, Inst Geophys, Allegaten 70, N-5007 Bergen, Norway.</t>
  </si>
  <si>
    <t>larsh@gfi.uib.no; ajen@bas.ac.uk; holland@cims.nyu.edu; ole.anders.nost@npolar.no</t>
  </si>
  <si>
    <t>Jenkins, Adrian/IUN-2406-2023</t>
  </si>
  <si>
    <t>Smedsrud, Lars H./0000-0001-7391-0740; Jenkins, Adrian/0000-0002-9117-0616; Nost, Ole Anders/0000-0002-6139-4088</t>
  </si>
  <si>
    <t>NERC [bas010002, bas010018] Funding Source: UKRI; Natural Environment Research Council [bas010002, bas010018] Funding Source: researchfish</t>
  </si>
  <si>
    <t>C1</t>
  </si>
  <si>
    <t>C01007</t>
  </si>
  <si>
    <t>10.1029/2005JC002915</t>
  </si>
  <si>
    <t>007VV</t>
  </si>
  <si>
    <t>WOS:000234999900001</t>
  </si>
  <si>
    <t>Shepherd, LD; Millar, CD; Ballard, G; Ainley, DG; Wilson, PR; Haynes, GD; Baroni, C; Lambert, DM</t>
  </si>
  <si>
    <t>Microevolution and mega-icebergs in the Antarctic (vol 102, pg 16717, 2005)</t>
  </si>
  <si>
    <t>Massey Univ, Inst Mol Biosci, Allan Wilson Ctr Mol Ecol &amp; Evolut, Auckland, New Zealand; Univ Auckland, Sch Biol Sci, Allan Wilson Ctr Mol Ecol &amp; Evolut, Auckland 1, New Zealand; PRBO Conservat Sci, Stinson Beach, CA 94970 USA; HT Harvey &amp; Associates, San Jose, CA 95118 USA; LandCare Res New Zealand Ltd, Nelson, New Zealand; Univ Pisa, Dipartimento Sci Terra, I-56126 Pisa, Italy; CNR, Inst Geosci &amp; Earth Resources, I-56126 Pisa, Italy</t>
  </si>
  <si>
    <t>Massey University; University of Auckland; Massey University; Landcare Research - New Zealand; University of Pisa; Consiglio Nazionale delle Ricerche (CNR); Istituto di Geoscienze e Georisorse (IGG-CNR)</t>
  </si>
  <si>
    <t>Shepherd, LD (corresponding author), Massey Univ, Inst Mol Biosci, Allan Wilson Ctr Mol Ecol &amp; Evolut, Private Bag 102904,NSMC, Auckland, New Zealand.</t>
  </si>
  <si>
    <t>Shepherd, Lara D/E-6663-2011; Baroni, Carlo/D-8184-2012</t>
  </si>
  <si>
    <t>Lambert, David/0000-0002-5821-3637; Shepherd, Lara/0000-0002-7136-0017; Baroni, Carlo/0000-0001-5905-4650</t>
  </si>
  <si>
    <t>JAN 17</t>
  </si>
  <si>
    <t>004BU</t>
  </si>
  <si>
    <t>WOS:000234727800060</t>
  </si>
  <si>
    <t>Clilverd, MA; Rodger, CJ; Ulich, T</t>
  </si>
  <si>
    <t>The importance of atmospheric precipitation in storm-time relativistic electron flux drop outs</t>
  </si>
  <si>
    <t>RADIATION BELT; GEM STORMS; WAVES</t>
  </si>
  <si>
    <t>During the sudden decrease of geosynchronous electron flux (&gt; 2 MeV) of 17: 10 - 17: 20 UT, January 21, 2005 large-scale precipitation into the atmosphere was observed. Estimates from ground-based radio propagation experiments at L similar to 5 in the Northern and Southern hemispheres suggest that the atmospheric precipitation was less than 1/10 of the flux apparently lost during this 10 minute period. However, continuing precipitation losses from 4 &lt; L &lt; 6, observed for the next 2.7 hours, provides about 1/2 of the total relativistic electron content lost.</t>
  </si>
  <si>
    <t>British Antarctic Survey, Div Phys Sci, Cambridge CB3 0ET, England; Univ Otago, Dept Phys, Dunedin, New Zealand; Oulu Univ, Sodankyla Geophys Observ, Sodankyla, Finland</t>
  </si>
  <si>
    <t>UK Research &amp; Innovation (UKRI); Natural Environment Research Council (NERC); NERC British Antarctic Survey; University of Otago; University of Oulu</t>
  </si>
  <si>
    <t>British Antarctic Survey, Div Phys Sci, High Cross,Madingley Rd, Cambridge CB3 0ET, England.</t>
  </si>
  <si>
    <t>macl@bas.ac.uk; crodger@physics.otago.ac.nz; thu@sgo.fi</t>
  </si>
  <si>
    <t>Rodger, Craig/A-1501-2011; Ulich, Thomas/G-3727-2018</t>
  </si>
  <si>
    <t>Ulich, Thomas/0000-0001-8217-022X; Rodger, Craig J./0000-0002-6770-2707</t>
  </si>
  <si>
    <t>JAN 10</t>
  </si>
  <si>
    <t>L01102</t>
  </si>
  <si>
    <t>10.1029/2005GL024661</t>
  </si>
  <si>
    <t>007UE</t>
  </si>
  <si>
    <t>WOS:000234994700004</t>
  </si>
  <si>
    <t>Lesser, MP; Barry, TM; Lamare, MD; Barker, MF</t>
  </si>
  <si>
    <t>Biological weighting functions for DNA damage in sea urchin embryos exposed to ultraviolet radiation</t>
  </si>
  <si>
    <t>biological weighting functions; DNA damage; embryos; ultraviolet radiation; urchins</t>
  </si>
  <si>
    <t>COD GADUS-MORHUA; AMINO-ACIDS; OZONE DEPLETION; UV-RADIATION; STRONGYLOCENTROTUS-DROEBACHIENSIS; CALANUS-FINMARCHICUS; 290-400 NM; LARVAE; EGGS; TRANSMISSION</t>
  </si>
  <si>
    <t>Laboratory experiments examining the effects of ultraviolet radiation (UVR, 290-400 nm) on DNA damage were carried out using the embryos of three species of sea urchins from different habitats; Strongylocentrotus droebachiensis from the Gulf of Maine, Sterechinus neumayeri from the Antarctic, and Evechinus chloroticus from New Zealand. All three species exhibited significant amounts of accumulated DNA damage, measured as cyclobutane pyrimidine dimers (CPD) photoproducts, when exposed to UVR in the laboratory. Biological weighting functions (BWFs) revealed that S. neumayeri has significantly higher sensitivity to UVR-induced DNA damage across most of the UVR spectrum compared to the other two species, and all species were observed to have weightings in the ultraviolet-A (UVA, 320-400 nm) portion of the spectrum. The increased sensitivity to ultraviolet-B (290-320 nm) and UVA in S. neumayeri is correlated with the lowest concentration of UVR absorbing compounds observed in the embryos of the three species of urchin used in this study. Sea urchin embryos and larvae in the respective habitats of the species tested are known to occur within 5 m of the surface of the ocean where both UVB and UVA wavelengths occur. Solar irradiances of UVR at a depth of 5 m, weighted using the urchin DNA damage BWFs, show that E. chloroticus receives the greatest amount of biologically effective UVR despite having the lowest wavelength dependent weightings for DNA damage when compared to the other two species. (c) 2005 Elsevier B.V. All rights reserved.</t>
  </si>
  <si>
    <t>Univ New Hampshire, Dept Zool, Durham, NH 03824 USA; Univ New Hampshire, Ctr Marine Biol, Durham, NH 03824 USA; Univ Otago, Dept Marine Sci, Dunedin, New Zealand</t>
  </si>
  <si>
    <t>University System Of New Hampshire; University of New Hampshire; University System Of New Hampshire; University of New Hampshire; University of Otago</t>
  </si>
  <si>
    <t>Univ New Hampshire, Dept Zool, Durham, NH 03824 USA.</t>
  </si>
  <si>
    <t>mpl@cisunix.unh.edu; miles.lamare@stonebow.otago.ac.nz; mike.barker@stonebow.otago.ac.nz</t>
  </si>
  <si>
    <t>Lamare, Miles M/A-7020-2010</t>
  </si>
  <si>
    <t>Lamare, Miles/0000-0001-8656-7240</t>
  </si>
  <si>
    <t>10.1016/j.jembe.2005.06.010</t>
  </si>
  <si>
    <t>001GZ</t>
  </si>
  <si>
    <t>WOS:000234522900002</t>
  </si>
  <si>
    <t>Böer, M; Graeve, M; Kattner, G</t>
  </si>
  <si>
    <t>Impact of feeding and starvation on the lipid metabolism of the Arctic pteropod Clione limacina</t>
  </si>
  <si>
    <t>Clione limacina; fatty acids; feeding and starvation; lipid classes; lipids; shrinkage</t>
  </si>
  <si>
    <t>DOGFISH SQUALUS-ACANTHIAS; ANTARCTIC KRILL; FATTY-ACIDS; EUPHAUSIA-SUPERBA; TROPHIC MARKERS; SOUTHERN-OCEAN; LIFE-STRATEGY; FOOD WEB; BIOSYNTHESIS; GLYCEROLIPIDS</t>
  </si>
  <si>
    <t>Feeding and starvation experiments were carried out with Clione limacina sampled in Kongsfjorden (Svalbard, Arctic) during summer 2002. Dry mass and lipid mass, lipid class and fatty acid compositions were analysed. Specimens of C limacina used for the feeding study had a mean length of 25 mm, a dry mass (DM) of 13.7 mg, and a moderate lipid content of 12.1 %DM. Animals were allowed to ingest only one individual of its exclusive prey, Limacina helicina which had 8.0 mm in diameter, 21.4 mg DM and 8.7% lipid of ash-free DM. Five days after feeding, the dry mass of C limacina had increased from 13.7 to 25.3 mg which corresponds to an uptake of about 80% of the ash-free DM (14.3 mg) of L. helicina. Lipid mass increased from 1.5 to 3.9 mg which is almost two times more the ingested lipid from L. helicina (1.2 mg lipid). Thus, the major portion of lipids was synthesised de novo by C. limacina from non-lipid compounds. These lipids were triacylglycerols (TAG) and 1-O-alkyldiacylglycerol ethers (DAGE), increasing from low proportions of 6.1% and 5.7% to 42.3% and 25.8%, respectively. Considerable de novo synthesis was observed for the monounsaturated fatty acids 16:1(n-7), 17:1(n-8), 18:1(n-9), and 18:1(n-7) and the alkyl moiety 16:0. The increase in the polyunsaturated fatty acids 22:6(n-3), 20:5(n-3), and 18:4(n-3) corresponded with the amount available by ingestion of L. helicina, supporting that C. limacina is not able to synthesise polyunsaturates. After 15 days of digestion, dry mass and lipids dropped almost back to the initial values. During the 100-day starvation experiment, two groups of animals were separately considered as storage lipid-rich and lipid-poor animals because of their large differences in the amount and proportion of TAG and DAGE. Storage lipid-rich C. limacina were only found until day 50, whereas lipid-poor animals were present throughout the experiment. In the lipid-rich specimens, the levels of TAG were about twice that of DAGE. The proportions of TAG decreased considerably during the 50 days of starvation (from 48.3% to 25.1% of total lipid). DAGE, varying between 16.5% and 20.5%, showed only a small decrease. The lipid-poor animals survived 100 days of starvation, exhibiting low initial amounts and proportions of storage lipids which were nearly exhausted at the end. In all C. limacina specimens, the total lipid content remained almost constant showing that lipid and non-lipid components were simultaneously utilised. This implies that body shrinkage may be an important adaptation to long-term starvation. Based on these results, it is possible to estimate the potential survival period of lipid-rich C. limacina under food limitation. A model, which considers maturity and reproduction (egg production), reveals that lipid-rich specimens might be able to survive up to 260 days without food. (c) 2005 Elsevier B.V. All rights reserved.</t>
  </si>
  <si>
    <t>Alfred Wegener Inst Polar &amp; Marine Res, D-27570 Bremerhaven, Germany</t>
  </si>
  <si>
    <t>Alfred Wegener Inst Polar &amp; Marine Res, Handelshafen 12, D-27570 Bremerhaven, Germany.</t>
  </si>
  <si>
    <t>mboeer@awi-bremerhaven.de</t>
  </si>
  <si>
    <t>Nerot, Caroline/C-6952-2009; Graeve, Martin/B-5751-2017</t>
  </si>
  <si>
    <t>Graeve, Martin/0000-0002-2294-1915</t>
  </si>
  <si>
    <t>10.1016/j.jembe.2005.07.001</t>
  </si>
  <si>
    <t>WOS:000234522900008</t>
  </si>
  <si>
    <t>Qu, TD; Girton, JB; Whitehead, JA</t>
  </si>
  <si>
    <t>Deepwater overflow through Luzon Strait</t>
  </si>
  <si>
    <t>SOUTH CHINA SEA; ANTARCTIC BOTTOM WATER; INTERMEDIATE WATER; TRANSPORT; INTRUSION; PACIFIC; PASSAGE; CHANNEL; FLOW</t>
  </si>
  <si>
    <t>[1] This study examines water property distributions in the deep South China Sea and [adjoining Pacific Ocean using all available hydrographic data. Our analysis reveals that below about 1500 m there is a persistent baroclinic pressure gradient driving flow from the Pacific into the South China Sea through Luzon Strait. Applying hydraulic theory with assumptions of zero potential vorticity and flat bottom to the Luzon Strait yields a transport estimate of 2.5 Sv ( 1 Sv = 10(6) m(3) s(-1)). Some implications of this result include: ( 1) a residence time of less than 30 years in the deep South China Sea, ( 2) a mean diapycnal diffusivity as large as 10(-3) m(2) s(-1), and (3) an abyssal upwelling rate of about 3 x 10(-6) m s(-1). These quantities are consistent with residence times based on oxygen consumption rates. The fact that all of the inflowing water must warm up before leaving the basin implies that this marginal sea contributes to the water mass transformations that drive the meridional overturning circulation in the North Pacific. Density distributions within the South China Sea basin suggest a cyclonic deep boundary current system, as might be expected for an overflow-driven abyssal circulation.</t>
  </si>
  <si>
    <t>Univ Hawaii, Int Pacific Res Ctr, SOEST, Honolulu, HI 96822 USA; Univ Washington, Appl Phys Lab, Seattle, WA 98105 USA; Woods Hole Oceanog Inst, Dept Phys Oceanog, Woods Hole, MA 02543 USA</t>
  </si>
  <si>
    <t>University of Hawaii System; University of Washington; University of Washington Seattle; Woods Hole Oceanographic Institution</t>
  </si>
  <si>
    <t>Univ Hawaii, Int Pacific Res Ctr, SOEST, 2525 Correa Rd, Honolulu, HI 96822 USA.</t>
  </si>
  <si>
    <t>tangdong@hawaii.edu; girton@apl.washington.edu; jwhitehead@whoi.edu</t>
  </si>
  <si>
    <t>C01002</t>
  </si>
  <si>
    <t>10.1029/2005JC003139</t>
  </si>
  <si>
    <t>007UP</t>
  </si>
  <si>
    <t>Bronze, Green Published, Green Submitted</t>
  </si>
  <si>
    <t>WOS:000234995900001</t>
  </si>
  <si>
    <t>Peters, LE; Anandakrishnan, S; Alley, RB; Winberry, JP; Voigt, DE; Smith, AM; Morse, DL</t>
  </si>
  <si>
    <t>Subglacial sediments as a control on the onset and location of two Siple Coast ice streams, West Antarctica</t>
  </si>
  <si>
    <t>MASS-BALANCE; SEISMIC OBSERVATIONS; SHEET; BENEATH; FLOW; STABILITY; GEOLOGY; OSCILLATIONS; DEFORMATION; TRIBUTARIES</t>
  </si>
  <si>
    <t>[1] Laterally continuous subglacial sediments are a necessary component for ice streaming in the modern onset regions of the ice streams draining the Siple Coast of West Antarctica on the basis of new seismic data combined with previous results. We present geophysical results from seismic reflection and refraction experiments in the upper reaches of ice streams C and D that highlight continuous sedimentary basins within and upstream of the current onset regions of both ice streams, with streaming ice overlying these sedimentary packages. The subglacial environment changes from no-sediment to discontinuous-sediment to continuous-sediment cover along a longitudinal profile from the ice sheet to tributary C1B. Along this same profile, we observe a speedup of ice flow and then full development of the ice stream tributary. Ice stream D flows above a thick sedimentary package with an uppermost low-seismic-velocity zone indicative of soft till, and the upglacier and lateral extensions of ice stream D are tightly constrained by the extent of continuous sediments. The inland termination of these sediments suggests that future migration of high-velocity, low-shear-stress ice flow in these regions appears unlikely.</t>
  </si>
  <si>
    <t>Penn State Univ, Dept Geosci, University Pk, PA 16802 USA; British Antarctic Survey, NERC, Cambridge CB3 OET, England; Univ Texas, Inst Geophys, Austin, TX 78759 USA</t>
  </si>
  <si>
    <t>Pennsylvania Commonwealth System of Higher Education (PCSHE); Pennsylvania State University; Pennsylvania State University - University Park; UK Research &amp; Innovation (UKRI); Natural Environment Research Council (NERC); NERC British Antarctic Survey; University of Texas System; University of Texas Austin</t>
  </si>
  <si>
    <t>Peters, LE (corresponding author), Penn State Univ, Dept Geosci, 534 Deike, University Pk, PA 16802 USA.</t>
  </si>
  <si>
    <t>lpeters@geosc.psu.edu</t>
  </si>
  <si>
    <t>Winberry, Paul/E-5557-2011; Winberry, Paul/HLQ-2673-2023; Anandakrishnan, Sridhar/JCN-5026-2023</t>
  </si>
  <si>
    <t>Winberry, Paul/0000-0003-1205-0745;</t>
  </si>
  <si>
    <t>JAN 7</t>
  </si>
  <si>
    <t>B1</t>
  </si>
  <si>
    <t>B01302</t>
  </si>
  <si>
    <t>10.1029/2005JB003766</t>
  </si>
  <si>
    <t>001CI</t>
  </si>
  <si>
    <t>WOS:000234510300001</t>
  </si>
  <si>
    <t>Baker, AJ; Pereira, SL; Haddrath, OP; Edge, KA</t>
  </si>
  <si>
    <t>Multiple gene evidence for expansion of extant penguins out of Antarctica due to global cooling</t>
  </si>
  <si>
    <t>penguins; divergence time; biogeography; nuclear DNA; mitochondrial DNA</t>
  </si>
  <si>
    <t>AVES; PHYLOGENY; EVOLUTION; BIRDS</t>
  </si>
  <si>
    <t>Classic problems in historical biogeography are where did penguins originate, and why are such mobile birds restricted to the Southern Hemisphere? Competing hypotheses posit they arose in tropical-warm temperate waters, species-diverse cool temperate regions, or in Gondwanaland similar to 100 mya when it was further north. To test these hypotheses we constructed a strongly supported phylogeny of extant penguins from 5851 bp of mitochondrial and nuclear DNA. Using Bayesian inference of ancestral areas we show that an Antarctic origin of extant taxa is highly likely, and that more derived taxa occur in lower latitudes. Molecular dating estimated penguins originated about 71 million years ago in Gondwanaland when it was further south and cooler. Moreover, extant taxa are inferred to have originated in the Eocene, coincident with the extinction of the larger-bodied fossil taxa as global climate cooled. We hypothesize that, as Antarctica became ice-encrusted, modern penguins expanded via the circumpolar current to oceanic islands within the Antarctic Convergence, and later to the southern continents. Thus, global cooling has had a major impact on penguin evolution, as it has on vertebrates generally. Penguins only reached cooler tropical waters in the Galapagos about 4 mya, and have not crossed the equatorial thermal barrier.</t>
  </si>
  <si>
    <t>Royal Ontario Museum, Dept Nat Hist, Ctr Biodivers &amp; Conservat Biol, Toronto, ON M5S 2C6, Canada; Univ Toronto, Dept Zool, Toronto, ON M5S 1A1, Canada; Univ Otago, Dept Zool, Dunedin, New Zealand</t>
  </si>
  <si>
    <t>Royal Ontario Museum; University of Toronto; University of Otago</t>
  </si>
  <si>
    <t>Royal Ontario Museum, Dept Nat Hist, Ctr Biodivers &amp; Conservat Biol, Toronto, ON M5S 2C6, Canada.</t>
  </si>
  <si>
    <t>allanb@rom.on.ca</t>
  </si>
  <si>
    <t>Pereira, Sergio L/B-1984-2010</t>
  </si>
  <si>
    <t>Pereira, Sergio L/0000-0002-2796-5625</t>
  </si>
  <si>
    <t>10.1098/rspb.2005.3260</t>
  </si>
  <si>
    <t>002YL</t>
  </si>
  <si>
    <t>WOS:000234648100002</t>
  </si>
  <si>
    <t>Church, JA; White, NJ</t>
  </si>
  <si>
    <t>A 20th century acceleration in global sea-level rise</t>
  </si>
  <si>
    <t>GLACIAL ISOSTATIC-ADJUSTMENT; RECORD; TOPEX</t>
  </si>
  <si>
    <t>Multi-century sea-level records and climate models indicate an acceleration of sea-level rise, but no 20th century acceleration has previously been detected. A reconstruction of global sea level using tide-gauge data from 1950 to 2000 indicates a larger rate of rise after 1993 and other periods of rapid sea-level rise but no significant acceleration over this period. Here, we extend the reconstruction of global mean sea level back to 1870 and find a sea-level rise from January 1870 to December 2004 of 195 mm, a 20th century rate of sea-level rise of 1.7 +/- 0.3 mm yr(-1) and a significant acceleration of sea-level rise of 0.013 +/- 0.006 mm yr(-2). This acceleration is an important confirmation of climate change simulations which show an acceleration not previously observed. If this acceleration remained constant then the 1990 to 2100 rise would range from 280 to 340 mm, consistent with projections in the IPCC TAR.</t>
  </si>
  <si>
    <t>CSIRO Marine &amp; Atmospher Res, Hobart, Tas 7001, Australia; Antarctic Climate &amp; Ecosyst Cooperat Res Ctr, Hobart, Tas, Australia</t>
  </si>
  <si>
    <t>Commonwealth Scientific &amp; Industrial Research Organisation (CSIRO); Antarctic Climate &amp; Ecosystems Cooperative Research Centre (ACE CRC)</t>
  </si>
  <si>
    <t>CSIRO Marine &amp; Atmospher Res, GPO Box 1538, Hobart, Tas 7001, Australia.</t>
  </si>
  <si>
    <t>john.church@csiro.au; neil.white@csiro.au</t>
  </si>
  <si>
    <t>Jiao, Liqing/A-8821-2011; Church, John A/A-1541-2012; White, Neil/B-2077-2013</t>
  </si>
  <si>
    <t>Church, John A/0000-0002-7037-8194;</t>
  </si>
  <si>
    <t>JAN 6</t>
  </si>
  <si>
    <t>L01602</t>
  </si>
  <si>
    <t>10.1029/2005GL024826</t>
  </si>
  <si>
    <t>001BY</t>
  </si>
  <si>
    <t>WOS:000234509300010</t>
  </si>
  <si>
    <t>Watkins, P</t>
  </si>
  <si>
    <t>Scott of the Antarctic - A life of courage and tragedy in the extreme South</t>
  </si>
  <si>
    <t>TLS-THE TIMES LITERARY SUPPLEMENT</t>
  </si>
  <si>
    <t>TIMES SUPPLEMENTS LIMITED</t>
  </si>
  <si>
    <t>MARKET HARBOROUGH</t>
  </si>
  <si>
    <t>TOWER HOUSE, SOVEREIGN PARK, MARKET HARBOROUGH LE87 4JJ, ENGLAND</t>
  </si>
  <si>
    <t>0307-661X</t>
  </si>
  <si>
    <t>1366-7211</t>
  </si>
  <si>
    <t>TLS-TIMES LIT SUPPL</t>
  </si>
  <si>
    <t>TLS-Times Lit. Suppl.</t>
  </si>
  <si>
    <t>Humanities, Multidisciplinary</t>
  </si>
  <si>
    <t>Arts &amp; Humanities - Other Topics</t>
  </si>
  <si>
    <t>001OV</t>
  </si>
  <si>
    <t>WOS:000234547100002</t>
  </si>
  <si>
    <t>Discovery illustrated - Pictures from Captain Scott's first Antarctic expedition</t>
  </si>
  <si>
    <t>WOS:000234547100004</t>
  </si>
  <si>
    <t>The Antarctic journals of Reginald Skelton - Another little job for the tinker</t>
  </si>
  <si>
    <t>WOS:000234547100005</t>
  </si>
  <si>
    <t>C</t>
  </si>
  <si>
    <t>Zamyatina, AA; Zamyatin, AJ; Zamyatin, VJ; Zavirukha, VK; Baygutlina, IA</t>
  </si>
  <si>
    <t>IEEE</t>
  </si>
  <si>
    <t>Zamyatina, Anna A.; Zamyatin, Alexander J.; Zamyatin, Vladimir J.; Zavirukha, Viktor K.; Baygutlina, Irina A.</t>
  </si>
  <si>
    <t>Radar as a tool for antiterrorism</t>
  </si>
  <si>
    <t>2006 EUROPEAN RADAR CONFERENCE</t>
  </si>
  <si>
    <t>European Radar Conference EuRAD</t>
  </si>
  <si>
    <t>Proceedings Paper</t>
  </si>
  <si>
    <t>3rd European Radar Conference (EuRAD 2006)</t>
  </si>
  <si>
    <t>SEP 13-15, 2006</t>
  </si>
  <si>
    <t>Manchester, ENGLAND</t>
  </si>
  <si>
    <t>radar; polarization; antiterrorism; hydrometeorology</t>
  </si>
  <si>
    <t>Recognizing of peoples and group of peoples on the native environment with different conditions is an important task for antiterrorism activity in many different regions (Chechnya, Afghanistan, Iraq, etc.). Report describes the possibilities of radar technologies for solution of this task for different conditions. The base of new methods and equipments is a polarization optimization for selection of radar target. Main parameters for polarization optimization are: different kinds of native environment (woods, rocks, beaches, etc.), weather (snow, rain, wind, etc.), temperature, pressure, etc.</t>
  </si>
  <si>
    <t>[Zamyatina, Anna A.; Zamyatin, Alexander J.; Zamyatin, Vladimir J.; Zavirukha, Viktor K.; Baygutlina, Irina A.] Arctic &amp; Antarctic Res Inst, St Petersburg 17198, Russia</t>
  </si>
  <si>
    <t>Zamyatina, AA (corresponding author), Arctic &amp; Antarctic Res Inst, St Petersburg 17198, Russia.</t>
  </si>
  <si>
    <t>345 E 47TH ST, NEW YORK, NY 10017 USA</t>
  </si>
  <si>
    <t>978-2-9600551-7-7</t>
  </si>
  <si>
    <t>EUROP RADAR CONF</t>
  </si>
  <si>
    <t>10.1109/EURAD.2006.280334</t>
  </si>
  <si>
    <t>Engineering, Electrical &amp; Electronic; Remote Sensing; Imaging Science &amp; Photographic Technology</t>
  </si>
  <si>
    <t>Conference Proceedings Citation Index - Science (CPCI-S)</t>
  </si>
  <si>
    <t>Engineering; Remote Sensing; Imaging Science &amp; Photographic Technology</t>
  </si>
  <si>
    <t>BGE72</t>
  </si>
  <si>
    <t>WOS:000246342300077</t>
  </si>
  <si>
    <t>Benitez, C; Ramírez, J; Segura, JC; Rubio, A; Ibáñez, JM; Almendros, J; García-Yeguas, A</t>
  </si>
  <si>
    <t>Benitez, C.; Ramirez, J.; Segura, J. C.; Rubio, A.; Ibanez, J. M.; Almendros, J.; Garcia-Yeguas, A.</t>
  </si>
  <si>
    <t>Continuous HMM-based volcano monitoring at Deception Island, Antarctica</t>
  </si>
  <si>
    <t>2006 IEEE International Conference on Acoustics, Speech and Signal Processing, Vols 1-13</t>
  </si>
  <si>
    <t>International Conference on Acoustics Speech and Signal Processing (ICASSP)</t>
  </si>
  <si>
    <t>31st IEEE International Conference on Acoustics, Speech and Signal Processing</t>
  </si>
  <si>
    <t>MAY 14-19, 2006</t>
  </si>
  <si>
    <t>Toulouse, FRANCE</t>
  </si>
  <si>
    <t>MAXIMUM-LIKELIHOOD; NEURAL-NETWORKS; SIGNALS</t>
  </si>
  <si>
    <t>This paper shows a complete volcano monitoring system that has been developed on the basis of the seismicity observed during three summer Antarctic surveys at Deception Island Volcano (Antarctica). The system is based on the state of the art in hidden Markov modelling (HMM) techniques successfully applied to other scenarios. A database containing a representative set of different seismic events including volcano-tectonic earthquakes, long-period events, volcanic tremor and hybrid events recorded during the 1994-1995 and 1995-1996 seismic surveys was collected for training and testing. Simple left-to-right HMMs and multivariate Gaussian probability density functions (PDF) with diagonal covariance matrix were used. The feature vector consists of the log-energies of a filter-bank consisting of 16 triangular weighting functions uniformly spaced between 0 and 20 Hz plus the first and second order derivatives. The system is suitable to operate in real-time and its accuracy is close to 90%. When the system was tested with a different data set including mainly long-period events registered during several seismic swarms during the 2001-2002 field survey, more than 95% of the recognized events were correctly marked by the recognition system.</t>
  </si>
  <si>
    <t>Univ Granada, Dept Signal Theory Networking &amp; Commun, Granada, Spain</t>
  </si>
  <si>
    <t>University of Granada</t>
  </si>
  <si>
    <t>Benitez, C (corresponding author), Univ Granada, Dept Signal Theory Networking &amp; Commun, Granada, Spain.</t>
  </si>
  <si>
    <t>Ramírez, Javier/B-1836-2012; Segura, Jose/B-7008-2008; Ramírez, Javier/IWU-5624-2023; Almendros, Javier/M-2468-2014; IBANEZ, JESUS M/G-9910-2019; Benitez Ortuzar, M. Carmen/C-2424-2012</t>
  </si>
  <si>
    <t>Ramírez, Javier/0000-0002-6229-2921; Segura, Jose/0000-0003-3746-0978; Almendros, Javier/0000-0001-5936-6160; IBANEZ, JESUS M/0000-0002-9846-8781; Garcia Yeguas, Maria Araceli/0000-0003-1555-4463; Benitez Ortuzar, M. Carmen/0000-0002-5407-8335</t>
  </si>
  <si>
    <t>1520-6149</t>
  </si>
  <si>
    <t>978-1-4244-0468-1</t>
  </si>
  <si>
    <t>INT CONF ACOUST SPEE</t>
  </si>
  <si>
    <t>Acoustics; Computer Science, Artificial Intelligence; Engineering, Electrical &amp; Electronic; Imaging Science &amp; Photographic Technology</t>
  </si>
  <si>
    <t>Acoustics; Computer Science; Engineering; Imaging Science &amp; Photographic Technology</t>
  </si>
  <si>
    <t>BFZ22</t>
  </si>
  <si>
    <t>WOS:000245559906105</t>
  </si>
  <si>
    <t>Lever, JH; Streeter, A; Ray, LR</t>
  </si>
  <si>
    <t>Lever, J. H.; Streeter, A.; Ray, L. R.</t>
  </si>
  <si>
    <t>Performance of a solar-powered robot for polar instrument networks</t>
  </si>
  <si>
    <t>2006 IEEE INTERNATIONAL CONFERENCE ON ROBOTICS AND AUTOMATION (ICRA), VOLS 1-10</t>
  </si>
  <si>
    <t>IEEE International Conference on Robotics and Automation ICRA</t>
  </si>
  <si>
    <t>IEEE International Conference on Robotics and Automation (ICRA)</t>
  </si>
  <si>
    <t>MAY 15-19, 2006</t>
  </si>
  <si>
    <t>mobile robot design; power system control</t>
  </si>
  <si>
    <t>The Cool Robot is a four-wheel-drive, solar-powered autonomous vehicle designed to support summertime science campaigns in Antarctica and Greenland. We deployed the robot at Summit Camp, Greenland, during 2005 to validate its power budget and to assess its unique control system that matches solar power input with power demand as the robot drives over rough terrain. The 61-kg robot drove continuously at 0.78 m/s on soft snow, its 160-W average power demand met by solar power alone under clear skies when sun elevation exceeded 16. The power-control system reliably matched input with demand as insolation changed during the tests. A simple GPS waypoint-following algorithm provided reliable autonomous navigation over periods of 5 - 8 hours. The data validate our design models and indicate that the Cool Robot will exceed its design goal of carrying a 15-kg payload 500 km in two weeks on, the Antarctic plateau.</t>
  </si>
  <si>
    <t>[Lever, J. H.] US Army Engineer Res &amp; Dev Ctr, Cold Reg Res &amp; Engn Lab, 72 Lyme Rd, Hanover, NH 03755 USA; [Streeter, A.; Ray, L. R.] Dartmouth Coll, Thayer Sch Engn, Hanover, NH 03755 USA</t>
  </si>
  <si>
    <t>Lever, JH (corresponding author), US Army Engineer Res &amp; Dev Ctr, Cold Reg Res &amp; Engn Lab, 72 Lyme Rd, Hanover, NH 03755 USA.</t>
  </si>
  <si>
    <t>james.h.lever@erdc.usace.army.mil; Laura.E.Ray@Dartmouth.EDU</t>
  </si>
  <si>
    <t>NSF [OPP-0343328]; NIST [60NANB4D1144]; Army AT42 work unit Mobility of Lightweight Robotic Vehicles; Institute for Security Technology Studies by the Bureau of Justice Assistance [2005- DD-BX-1091]</t>
  </si>
  <si>
    <t>NSF(National Science Foundation (NSF)); NIST(National Institute of Standards &amp; Technology (NIST) - USA); Army AT42 work unit Mobility of Lightweight Robotic Vehicles; Institute for Security Technology Studies by the Bureau of Justice Assistance</t>
  </si>
  <si>
    <t>This work is supported by NSF grant OPP-0343328, NIST grant 60NANB4D1144, Army AT42 work unit Mobility of Lightweight Robotic Vehicles, and grant 2005- DD-BX-1091 awarded to the Institute for Security Technology Studies by the Bureau of Justice Assistance</t>
  </si>
  <si>
    <t>1050-4729</t>
  </si>
  <si>
    <t>2577-087X</t>
  </si>
  <si>
    <t>0-7803-9505-0</t>
  </si>
  <si>
    <t>IEEE INT CONF ROBOT</t>
  </si>
  <si>
    <t>10.1109/ROBOT.2006.1642356</t>
  </si>
  <si>
    <t>Automation &amp; Control Systems; Computer Science, Artificial Intelligence; Engineering, Mechanical; Robotics</t>
  </si>
  <si>
    <t>Automation &amp; Control Systems; Computer Science; Engineering; Robotics</t>
  </si>
  <si>
    <t>BFB71</t>
  </si>
  <si>
    <t>WOS:000240886909029</t>
  </si>
  <si>
    <t>Han, H; Lee, H</t>
  </si>
  <si>
    <t>Han, Hyangsun; Lee, Hoonyol</t>
  </si>
  <si>
    <t>Comparison of SSM/I Sea Ice Concentration with Kompsat-1 EOC Images of the Arctic and Antarctic</t>
  </si>
  <si>
    <t>2006 IEEE INTERNATIONAL GEOSCIENCE AND REMOTE SENSING SYMPOSIUM, VOLS 1-8</t>
  </si>
  <si>
    <t>IEEE International Symposium on Geoscience and Remote Sensing IGARSS</t>
  </si>
  <si>
    <t>IEEE International Geoscience and Remote Sensing Symposium (IGARSS)</t>
  </si>
  <si>
    <t>JUL 31-AUG 04, 2006</t>
  </si>
  <si>
    <t>Denver, CO</t>
  </si>
  <si>
    <t>We have compared Kompsat-1 EOC images (6.6m resolution, panchromatic) of the Arctic and Antarctic sea ice with SSM/I Sea Ice Concentration (SIC). EOC images were obtained from 10 orbits (624 scenes) across the Arctic sea ice edges from July to August and 11 orbits (676 scenes) across the Antarctic continental edges from September to November, all in year 2005. By applying supervised classification and visual identification to about 12% usable images out of the total scenes, we have classified various sea ice types such as Multi-year ice and First-year ice (M+F), Young ice (Y), and New ice (N). EOC SIC were derived and compared with SSM/I SIC calculated by NASA Team Algorithm (NTA). In summertime of the Arctic, the correlation coefficient between EOC SIC (M+F+Y+N) and SSM/I SIC were low (0.671) due to rapid temporal and spatial variation of sea ice. For springtime in the Antarctic, EOC SIC (M+F+Y, excluding N) and SSM/I SIC have shown the highest correlation coefficient (0.873). We have concluded that the NTA-derived SSM/I SIC includes Y as well as M+F, but not N.</t>
  </si>
  <si>
    <t>[Han, Hyangsun; Lee, Hoonyol] Kangwon Natl Univ, Dept Geophys, Chunchon 200701, Kangwon Do, South Korea</t>
  </si>
  <si>
    <t>Kangwon National University</t>
  </si>
  <si>
    <t>Han, H (corresponding author), Kangwon Natl Univ, Dept Geophys, 192-1 Hyoja 2 Dong, Chunchon 200701, Kangwon Do, South Korea.</t>
  </si>
  <si>
    <t>imakdong@kangwon.ac.kr; hoonyol@kangwon.ac.kr</t>
  </si>
  <si>
    <t>Han, Hyangsun/AAE-7670-2022</t>
  </si>
  <si>
    <t>Han, Hyangsun/0000-0002-0414-519X</t>
  </si>
  <si>
    <t>2153-6996</t>
  </si>
  <si>
    <t>978-0-7803-9509-1</t>
  </si>
  <si>
    <t>INT GEOSCI REMOTE SE</t>
  </si>
  <si>
    <t>10.1109/IGARSS.2006.187</t>
  </si>
  <si>
    <t>Geosciences, Multidisciplinary; Remote Sensing; Imaging Science &amp; Photographic Technology</t>
  </si>
  <si>
    <t>Geology; Remote Sensing; Imaging Science &amp; Photographic Technology</t>
  </si>
  <si>
    <t>BIN08</t>
  </si>
  <si>
    <t>WOS:000260989400183</t>
  </si>
  <si>
    <t>Lucieer, A</t>
  </si>
  <si>
    <t>Lucieer, Arko</t>
  </si>
  <si>
    <t>Visualization for exploration of uncertainty related to fuzzy classification</t>
  </si>
  <si>
    <t>REMOTELY-SENSED IMAGERY; LAND-COVER</t>
  </si>
  <si>
    <t>This study presents a new visualization tool for exploration of the results of a supervised fuzzy classification. 3D isosurfaces are introduced to visualize the shape and extent of class clusters in a 3D feature space plot. These isosurfaces are linked to an image display showing the spatial extent of classes. The dynamical link between feature space, image space, and user interaction with an uncertainty threshold allows for interactive exploration of the spatial and thematic aspects of uncertainty related to a fuzzy classification. The visualization tool is illustrated with a fuzzy classification of a Quickbird image of sub-Antarctic Macquarie Island.</t>
  </si>
  <si>
    <t>Univ Tasmania, Sch Geog &amp; Environm Studies, Ctr Spatial Informat Sci, Hobart, Tas, Australia</t>
  </si>
  <si>
    <t>Lucieer, A (corresponding author), Univ Tasmania, Sch Geog &amp; Environm Studies, Ctr Spatial Informat Sci, Hobart, Tas, Australia.</t>
  </si>
  <si>
    <t>Arko.Lucieer@utas.edu.au</t>
  </si>
  <si>
    <t>Lucieer, Arko/F-1247-2013</t>
  </si>
  <si>
    <t>Lucieer, Arko/0000-0002-9468-4516</t>
  </si>
  <si>
    <t>10.1109/IGARSS.2006.232</t>
  </si>
  <si>
    <t>WOS:000260989400227</t>
  </si>
  <si>
    <t>Moll, A; Braun, M</t>
  </si>
  <si>
    <t>Moll, Albert; Braun, Matthias</t>
  </si>
  <si>
    <t>Determination of Glacier Velocities on King George Island (Antarctica) by DInSAR</t>
  </si>
  <si>
    <t>SAR interferometry; Antarctic Peninsula; glacier</t>
  </si>
  <si>
    <t>LARSEN ICE SHELF; SURFACE-ENERGY BALANCE; RETREAT; PENINSULA; COLLAPSE; FIELD</t>
  </si>
  <si>
    <t>The Antarctic Peninsula is a region highly sensitive to climate change. For ice dynamic modelling and climatic impact studies several parameters have to be known. Radar interferometry is a feasible method in such remote areas to derive velocity fields. For King George Island, the available ERS-1/2 tandem pairs with reasonable baselines have been processed. Due to temporal decorrelation only 2 out of 19 pairs showed almost everywhere high coherence and an additional 6 have partial moderate coherence. A SAR DEA7 was constructed by double differencing interferometry. Ascending and descending scenes where combined to derive a velocity field for the main part of the Island. External elevation data was additionally incorporated in the processing. Glacier velocities range between 0m and about 120m per year. Validation with DGPS measurements from several field campaigns shows good agreement with the interferometric derived velocities. Inaccuracies exist for the edges of the ice cap as here decorrelation effects hampered the generation of an InSAR DEM and no external data was available.</t>
  </si>
  <si>
    <t>[Moll, Albert; Braun, Matthias] Univ Bonn, Ctr Remote Sensing Land Surfaces, D-5300 Bonn, Germany</t>
  </si>
  <si>
    <t>University of Bonn</t>
  </si>
  <si>
    <t>Moll, A (corresponding author), Univ Bonn, Ctr Remote Sensing Land Surfaces, D-5300 Bonn, Germany.</t>
  </si>
  <si>
    <t>amoll@uni-bonn.de</t>
  </si>
  <si>
    <t>Braun, Matthias H/S-4693-2016; Braun, Matthias/A-4968-2009</t>
  </si>
  <si>
    <t>Braun, Matthias/0000-0001-5169-1567</t>
  </si>
  <si>
    <t>10.1109/IGARSS.2006.319</t>
  </si>
  <si>
    <t>WOS:000260989400314</t>
  </si>
  <si>
    <t>Cicek, BO; Xie, HJ</t>
  </si>
  <si>
    <t>Cicek, Burcu Ozsoy; Xie, Hongjie</t>
  </si>
  <si>
    <t>ELEVATION AND FREEBOARD CHANGES OF ROSS SEA ICE AND ICE SHELF USING ICESAT</t>
  </si>
  <si>
    <t>ROSS Ice Shelf; Sea Ice; ICESat; Elevation Change</t>
  </si>
  <si>
    <t>In this paper, ICESat (Ice, Cloud, and land Elevation Satellite)-based estimates of sea ice and ice shelf elevation change and the sea ice freeboard changes in the Ross Sea Region of west Antarctic were studied. To process the data, a 3-step procedure was developed. ICESat datasets of three releases were used for the study: laser I and laser 2A (2003) and laser 3D (2005). It was found that all of them have suspect elevation data and extensive quality control was needed to remove the suspect points before a bias-free surface could be generated. Also obtained sea-ice freeboard from ICESat elevation data showed unusual negative results. Simple, universe, and ordinary kriging interpolations as well as inverse distance weights interpolation were tested and evaluated. It is found that the ordinary kriging method based on an unknown mean performed the best and achieved the smallest RMS prediction error (&lt; 1 m) based on cross-validation technique. Seasonal elevation changes of the two complete datasets (laser 1 and laser 2A) have been analyzed and results indicate that (1) the mean elevation of sea ice increased about 0.89 m, with a mean increase of 0.55 m for the sea ice/ice shelf transition zone; (2) the mean elevation of the ice sheet decreased about 0.17 m; (3) maximum elevation of sea ice increased 1.13 m; (4) maximum elevation of ice shelf increased 5.36 m; (5) the transitional region has the largest elevation change: similar to 60 % of the region shown 48 to 20 m decreases, only small portions shown 2040 m increases. Inter-annual elevation changes obtained from laser 2A and laser 3D for sea ice indicate that (1) minimum surface elevation has decreased as 5.27 m with increase of mean surface about 0.12 m; (2) maximum surface elevation from Austral spring 2003 to spring 2005 has decreased as 12.69 m. It is suggested that the freeboard directly resulted from ICESat data has large negative values and needs better geoid or mean sea surface.</t>
  </si>
  <si>
    <t>[Cicek, Burcu Ozsoy; Xie, Hongjie] Univ Texas San Antonio, Dept Earth &amp; Environm Sci, Lab Remote Sensing &amp; Geoinformat, San Antonio, TX USA</t>
  </si>
  <si>
    <t>University of Texas System; University of Texas at San Antonio (UTSA)</t>
  </si>
  <si>
    <t>Cicek, BO (corresponding author), Univ Texas San Antonio, Dept Earth &amp; Environm Sci, Lab Remote Sensing &amp; Geoinformat, San Antonio, TX USA.</t>
  </si>
  <si>
    <t>Burcu@drcicek.com; Hongjie.Xie@utsa.edu</t>
  </si>
  <si>
    <t>Xie, Hongjie/B-5845-2009; Ozsoy, Burcu/AAH-5348-2020</t>
  </si>
  <si>
    <t>Xie, Hongjie/0000-0003-3516-1210; Ozsoy, Burcu/0000-0003-4320-1796</t>
  </si>
  <si>
    <t>10.1109/IGARSS.2006.463</t>
  </si>
  <si>
    <t>WOS:000260989401055</t>
  </si>
  <si>
    <t>Yamanokuchi, T; Doi, K; Shibuya, K</t>
  </si>
  <si>
    <t>Yamanokuchi, Tsutomu; Doi, Koichiro; Shibuya, Kazuo</t>
  </si>
  <si>
    <t>Comparison of Antarctic Ice sheet elevation between ICESat GLAS and InSAR DEM</t>
  </si>
  <si>
    <t>component; InSAR; grounding line; ADD; West Antarctica; ICESat; Ice sheet elevation</t>
  </si>
  <si>
    <t>In this study we used two kinds of SAR Interferometry (InSAR) analysis and its applications for Antarctic ice sheet research. We extracted grounding line along with the Antarctic coastal zone from 80 degrees W to 160 degrees W using ERS-1/2 tandem data. The grounding line extracted from InSAR compared with conventional one stored in Antarctic Digital Database (ADD). Grounding line delineated by InSAIR showed extremely detailed features as compared with ADD' s cone. This result revealed that InSAR is a practical tool for the detection of grounding lines. We also compared ice sheet elevation from ICESat GLAS (Geoscience Laser Altimetry System) data to InSAR DEM. The comparison result showed that elevation values derived by InSAR DEM have insufficient height accuracy compared to GLAS data due to ice flow appeared in the fringe pattern and difficulty of phase unwrapping. To apply operational comparison with GLAS data, we need to improve InSAR DEM to take account with the effect of ice flow appeared in the fringe pattern.</t>
  </si>
  <si>
    <t>[Yamanokuchi, Tsutomu] SOKENDAI, Remote Sensing Technol Ctr Japan, Dept Polar Sci, Minato Ku, 12F,Roppongi 1st BLDG,1-9-9 Roppongi, Tokyo, Japan; [Doi, Koichiro; Shibuya, Kazuo] Natl Inst Polar Res NIPR, Tokyo, Japan</t>
  </si>
  <si>
    <t>Graduate University for Advanced Studies - Japan; Research Organization of Information &amp; Systems (ROIS); National Institute of Polar Research (NIPR) - Japan</t>
  </si>
  <si>
    <t>Yamanokuchi, T (corresponding author), SOKENDAI, Remote Sensing Technol Ctr Japan, Dept Polar Sci, Minato Ku, 12F,Roppongi 1st BLDG,1-9-9 Roppongi, Tokyo, Japan.</t>
  </si>
  <si>
    <t>tsutomuy@restec.or.jp</t>
  </si>
  <si>
    <t>10.1109/IGARSS.2006.700</t>
  </si>
  <si>
    <t>WOS:000260989401292</t>
  </si>
  <si>
    <t>Fuzzy classification of sub-Antarctic vegetation on Heard Island based on high-resolution satellite imagery</t>
  </si>
  <si>
    <t>SOUTHERN-OCEAN ISLANDS; LAND-COVER</t>
  </si>
  <si>
    <t>This study presents the first land cover classification of sub-Antarctic Heard Island based on high-resolution IKONOS imagery and a supervised fuzzy classification algorithm. Transition zones between vegetation types and rock are identified and analyzed by using fuzzy membership layers and a confusion measure as a quantification of spatial and thematic uncertainty. This study shows that a combination of high-resolution satellite imagery and fuzzy classification techniques is extremely valuable for mapping sub-Antarctic vegetation and for quantifying uncertainty related to vegetation transition zones.</t>
  </si>
  <si>
    <t>Univ Tasmania, Sch Geog &amp; Environm Studies, Ctr Spatial Informat Sci CenSIS, Hobart, Tas, Australia</t>
  </si>
  <si>
    <t>Lucieer, A (corresponding author), Univ Tasmania, Sch Geog &amp; Environm Studies, Ctr Spatial Informat Sci CenSIS, Hobart, Tas, Australia.</t>
  </si>
  <si>
    <t>10.1109/IGARSS.2006.714</t>
  </si>
  <si>
    <t>WOS:000260989401306</t>
  </si>
  <si>
    <t>Brogioni, M; Macelloni, G; Pampaloni, P</t>
  </si>
  <si>
    <t>Brogioni, M.; Macelloni, G.; Pampaloni, P.</t>
  </si>
  <si>
    <t>Temporal and Spatial Variability of Multi-frequency Microwave Emission from the East Antarctic Plateau</t>
  </si>
  <si>
    <t>IEEE International Symposium on Geoscience and Remote Sensing (IGARSS)</t>
  </si>
  <si>
    <t>The Antarctic plateau is a part of Antarctica extending for a few hundred kilometers around the South Pole with an average elevation close to 3000 in a.s.l.. This area provides unique opportunities for various scientific disciplines including Glaciology, Atmospheric and Earth Sciences. In addition, there is growing interest, in using the Antarctic plateau, for calibrating and validating data of satellite-borne microwave and radiometers. This is because the size, structure, spatial homogeneity and thermal stability of this area. In this paper we analyse temporal and spatial variability of multi-frequency microwave emission from an area around the Dome-C scientific station by using AMSR-E data collected along the year 2005. Moreover we use a multi-layer coherent electromagnetic model to estimate the contribution of snow layers to the emission at various frequencies.</t>
  </si>
  <si>
    <t>[Brogioni, M.; Macelloni, G.; Pampaloni, P.] CNR IFAC, Florence, Italy</t>
  </si>
  <si>
    <t>Consiglio Nazionale delle Ricerche (CNR); Istituto di Fisica Applicata Nello Carrara (IFAC-CNR)</t>
  </si>
  <si>
    <t>Brogioni, M (corresponding author), CNR IFAC, Florence, Italy.</t>
  </si>
  <si>
    <t>G.Macelloni@ifac.cnr.it</t>
  </si>
  <si>
    <t>Brogioni, Marco/B-7522-2015; Macelloni, Giovanni/B-7518-2015; Brogioni, Marco/Q-6583-2019</t>
  </si>
  <si>
    <t>Brogioni, Marco/0000-0001-6232-6020; Brogioni, Marco/0000-0001-6232-6020; MACELLONI, GIOVANNI/0000-0002-9738-7939</t>
  </si>
  <si>
    <t>10.1109/IGARSS.2006.979</t>
  </si>
  <si>
    <t>WOS:000260989402165</t>
  </si>
  <si>
    <t>Li, L; Gaiser, P; Twarog, E; Long, DG; Albert, M</t>
  </si>
  <si>
    <t>Li, Li; Gaiser, Peter; Twarog, Elizabeth; Long, David G.; Albert, Mary</t>
  </si>
  <si>
    <t>WindSat Polarimetric View of Greenlandy</t>
  </si>
  <si>
    <t>polarimetric microwavr radiometry; WindSat; snow; Greenland</t>
  </si>
  <si>
    <t>ICE-SHEET</t>
  </si>
  <si>
    <t>WindSat has systemically collected the first global passive polarimetric data over both land and ocean at three frequencies: 10.7, 18.7 and 37 GHz, including the brightness temperatures at vertical and horizontal polarizations, and the real and imaginary parts of the cross-correlation of the vertical and horizontal polarizations. Prior to the launch of WindSat, it was commonly believed that land. polarimetric signatures at satellite footprint scales are below instrumental noise levels and do not have any useful geophysical information. On the contrary, WindSat polarimetric data exhibit distinct geophysical and observation geometry signatures, particularly over Greenland and Antarctic where the signatures are related to snow accumulation, melting and metamorphism. The third and fourth Stokes parameters show well defined, large azimuth modulation which is correlated with geophysical variations, particularly with snow metamorphism, and has consistent seasonal variation. We use simple empirical models to separate and quantify such azimuthal modulations and geophysical changes. By comparing the temporal variations of harmonic coefficients and brightness temperature signatures in vertical and horizontal polarization channels, we find that both volume and surface scattering have important contributions to the polarimetric signature. Such signatures are relatively weak in the summer, when sastrugi are small and surface scattering is significant, and are strongest in spring, when the sastrugi are larger and volume scattering is important.</t>
  </si>
  <si>
    <t>[Li, Li; Gaiser, Peter; Twarog, Elizabeth] USN, Res Lab, Remote Sensing Div, Washington, DC 20375 USA; [Long, David G.; Albert, Mary] Brigham Young Univ, Center Remote Sensing, Provo, UT USA; [Albert, Mary] Cold Reg Res &amp; Engn Lab, Hanover, NH USA</t>
  </si>
  <si>
    <t>United States Department of Defense; United States Navy; Naval Research Laboratory; Brigham Young University; United States Department of Defense; United States Army; U.S. Army Corps of Engineers; U.S. Army Engineer Research &amp; Development Center (ERDC); Cold Regions Research &amp; Engineering Laboratory (CRREL)</t>
  </si>
  <si>
    <t>Li, L (corresponding author), USN, Res Lab, Remote Sensing Div, Washington, DC 20375 USA.</t>
  </si>
  <si>
    <t>li.li@nrl.navy.mil</t>
  </si>
  <si>
    <t>Long, David G./K-4908-2015</t>
  </si>
  <si>
    <t>Long, David G./0000-0002-1852-3972</t>
  </si>
  <si>
    <t>NRL Ocean and Atmospheric Science and Technology; NPOESS</t>
  </si>
  <si>
    <t>This research is supported in part by the NRL Ocean and Atmospheric Science and Technology Program and the NPOESS Integrated Program Office.)</t>
  </si>
  <si>
    <t>10.1109/IGARSS.2006.980</t>
  </si>
  <si>
    <t>WOS:000260989402166</t>
  </si>
  <si>
    <t>Lambert, B; Long, DG</t>
  </si>
  <si>
    <t>Lambert, Ben; Long, David G.</t>
  </si>
  <si>
    <t>A Large-Scale Ku-Band Backscatter Model of the East-Antarctic Megadune Fields</t>
  </si>
  <si>
    <t>The megadune region of East-Antarctica has a unique topology consisting of microrelief features, sastrugi and long, coherent snow dunes. The azimuth modulation signature in this region is characterized by higher backscatter, less modulation, and more local maxima than in a nearby non-dune region. We develop a fourth-order best-fit model to describe the azimuth modulation and apply it independently to two disjoint portions of the megadune region.</t>
  </si>
  <si>
    <t>[Lambert, Ben; Long, David G.] Brigham Young Univ, Microwave Earth Remote Sensing Lab, Provo, UT 84604 USA</t>
  </si>
  <si>
    <t>Brigham Young University</t>
  </si>
  <si>
    <t>Lambert, B (corresponding author), Brigham Young Univ, Microwave Earth Remote Sensing Lab, 459 Clyde Bldg, Provo, UT 84604 USA.</t>
  </si>
  <si>
    <t>lambert@mers.byu.edu; long@ee.byu.edu</t>
  </si>
  <si>
    <t>10.1109/IGARSS.2006.982</t>
  </si>
  <si>
    <t>WOS:000260989402168</t>
  </si>
  <si>
    <t>Macelloni, G; Brogioni, M; Pampaloni, P</t>
  </si>
  <si>
    <t>Macelloni, G.; Brogioni, M.; Pampaloni, P.</t>
  </si>
  <si>
    <t>An Experimental Campaign in Antarctica for the Calibration of Low-frequency Space-borne Radiometers.</t>
  </si>
  <si>
    <t>The quality of microwave space-borne data is a key issue that can be dealt only with the pre-launch calibration of the instruments, together with a comprehensive follow-up of post-launch calibration and validation experiments. The possibility of introducing into the calibration procedure the observation of an external independent target, whose characteristics are not related to the system on board the satellite, represents an attractive opportunity. A good candidate as calibration target is the Antarctic area, which has suitable size, structure, spatial homogeneity and temporal thermal stability. With a view to the launching of new low-frequency sensors, an experimental activity to investigate the emission characteristics of the ice sheet with ground based radiometers was carried out at Dome-C Antarctica. In this paper we describe the preparation activities related to the calibration of the instruments</t>
  </si>
  <si>
    <t>[Macelloni, G.; Brogioni, M.; Pampaloni, P.] IFAC CNR, I-50019 Florence, Italy</t>
  </si>
  <si>
    <t>Macelloni, G (corresponding author), IFAC CNR, Via Madonna Piano 10, I-50019 Florence, Italy.</t>
  </si>
  <si>
    <t>Brogioni, Marco/Q-6583-2019; Macelloni, Giovanni/B-7518-2015; Brogioni, Marco/B-7522-2015</t>
  </si>
  <si>
    <t>10.1109/IGARSS.2006.1021</t>
  </si>
  <si>
    <t>WOS:000260989402207</t>
  </si>
  <si>
    <t>He, ZG; Dong, ZQ; Yuan, XJ</t>
  </si>
  <si>
    <t>Fronts and strong currents of the upper southeast Indian Ocean</t>
  </si>
  <si>
    <t>ACTA OCEANOLOGICA SINICA</t>
  </si>
  <si>
    <t>southeast Indian Ocean; front; jet</t>
  </si>
  <si>
    <t>ANTARCTIC CIRCUMPOLAR CURRENT</t>
  </si>
  <si>
    <t>Hydrographic data, ADCP velocity and sea level anomaly derived from the satellite altimeter have been jointly analyzed in the southeast Indian Ocean. Results show the locations and orientations of the major oceanic fronts as well as the characteristics of the currents within these fronts in the area. Double subtropical fronts are observed in the section along 120 degrees E, which conflicts with the frontal structure frequently observed before-the North Subtropical Front (NSTF) and South Subtropical Front (SSTF) merge into a single STF between 110 degrees similar to 115 degrees E. The Subantarctic Front (SAF), influenced by the out-of-phase double eddies, runs across 48 degrees S three times between 120 degrees and 127 degrees E. The surface current within the SAF is strengthened up to 105.4 cm/s by the geostrophic effect of these eddies Furthermore eddies may cause the strong current to split up into two branches within the SAF. The SAF and the primary polar front (PF1) can be identified individually in the ADCP data with a separation distance of about 0.3 degrees at latitude between 140 degrees and 145 degrees E, although they cannot be identified separately in the low-resolution hydrographic data. The different thermohaline characteristics of Circumpolar Deep Water (CDW) and Modified Circumpolar Deep Water (MCDW) result in the formation of Southern Antarctic Circumpolar Current Front (SACCF) in the southeast Indian Ocean. It consistently turns northward along the east flank of the Kerguelen Plateau after it runs through the Princess Elizabeth Trough and turns southward sharply north of 60 degrees S with a little seasonal variations. It is shown that the locations and orientations of the SAF, the primary PF and SACCF in the ACC of the southeast Indian Ocean can be identified more precisely by the current distribution derived from ADCP data than by hydrographic data, because these fronts are usually accompanied by strong currents. However, the locations and orientations of the STF and the secondary PF are more difficult to be identified through current data, since these two fronts are usually not accompanied by any jet. The STF the and the secondary PF are usually confined in the first few hundred meters of the upper ocean and the latter is often determined by the northern terminus of 2 degrees C isothermal.</t>
  </si>
  <si>
    <t>Polar Res Inst China, Shanghai 200136, Peoples R China; Xiamen Univ, Dept Oceanog, Xiamen 361005, Peoples R China; Columbia Univ, Lamont Doherty Earth Observ, Palisades, NY 10964 USA</t>
  </si>
  <si>
    <t>Polar Research Institute of China; Xiamen University; Columbia University</t>
  </si>
  <si>
    <t>Polar Res Inst China, Shanghai 200136, Peoples R China.</t>
  </si>
  <si>
    <t>dongzhaoqian@pric.gov.cn</t>
  </si>
  <si>
    <t>0253-505X</t>
  </si>
  <si>
    <t>1869-1099</t>
  </si>
  <si>
    <t>ACTA OCEANOL SIN</t>
  </si>
  <si>
    <t>Acta Oceanol. Sin.</t>
  </si>
  <si>
    <t>041TG</t>
  </si>
  <si>
    <t>WOS:000237478200001</t>
  </si>
  <si>
    <t>Pu, SZ; Hu, XM; Dong, ZQ; Xiang, BQ; Yu, WD</t>
  </si>
  <si>
    <t>Pu Shuzhen; Hu Xiaomin; Dong Zhaoqian; Xiang Baoqiang; Yu Weidong</t>
  </si>
  <si>
    <t>Features of physical oceanography in the oceans near the Prydz Bay during the 1998/1999 austral summer</t>
  </si>
  <si>
    <t>circulation; front; Prydz Bay; Southern Ocean; water masses</t>
  </si>
  <si>
    <t>BOTTOM WATER FORMATION; HEAT</t>
  </si>
  <si>
    <t>Thermohaline features, spatial extensions, and depths of the antarctic circumpolar deep water, the antarctic bottom water, and the upper layer water near the Prydz Bay ( including the Prydz Bay summer surface water, the antarctic winter water, and the Prydz Bay shelf water) are analyzed and studied by use of the full depth CTD data obtained in the Southern Ocean near the Prydz Bay during the 1998/1999 austral summer. The northward extension of the shelf water, the thickness of the temperature inversion layer, the minima in the vertical temperature profile and the vertical temperature gradient are interpreted. On the basis of analysis of gravitational potential field, the geostrophic current and the geostrophic volume transport are calculated to determine the location of the strongest current in the zonal circulation near the Prydz Bay and to find the spatial variability of the volume transport in the 64 degrees similar to 66.5 degrees S zone. In addition, the central location, the frontal strength, the vertical depth and thickness of the continental water boundary (CWB) are estimated from the CTD data to expound the spatial variability of CWB in the study area (64 degrees similar to 66.5 degrees S, 70 degrees similar to 75 degrees E).</t>
  </si>
  <si>
    <t>State Ocean Adm, Inst Oceanog 1, Qingdao 266061, Peoples R China; State Ocean Adm, Polar Res Inst China, Shanghai 200136, Peoples R China</t>
  </si>
  <si>
    <t>First Institute of Oceanography, Ministry of Natural Resources; Polar Research Institute of China</t>
  </si>
  <si>
    <t>Pu, SZ (corresponding author), State Ocean Adm, Inst Oceanog 1, Qingdao 266061, Peoples R China.</t>
  </si>
  <si>
    <t>szpu@public.qd.sd.cn</t>
  </si>
  <si>
    <t>Xiang, Baoqiang/O-1890-2019; Yu, Weidong/I-7130-2013; Yu, Weidong/IWL-8649-2023; Hu, Xiaomin/GRY-1539-2022</t>
  </si>
  <si>
    <t>Yu, Weidong/0000-0003-2503-2415;</t>
  </si>
  <si>
    <t>122BS</t>
  </si>
  <si>
    <t>WOS:000243201300001</t>
  </si>
  <si>
    <t>Li, J; Chen, KH; Lin, XH; He, PQ; Li, GY</t>
  </si>
  <si>
    <t>Li Jiang; Chen Kaoshan; Lin Xuezheng; He Peiqing; Li Guangyou</t>
  </si>
  <si>
    <t>Production and characterization of an extracellular polysaccharide of antarctic marine bacteria Pseudoalteromonas sp S-15-13</t>
  </si>
  <si>
    <t>antarctic bacteria Pseudoalteromonas sp S-15-13; extracellular polysaccharide; environmental factors; cryoprotection</t>
  </si>
  <si>
    <t>IDENTIFICATION</t>
  </si>
  <si>
    <t>Twenty-seven antarctic bacteria producing extracellular polysaccharide (EPS) were selected from 57 strains by staining technology. The effects of major environmental factors on the growth and EPS production of Pseudoalteromonas sp. S-15-13 were investigated, and the EPS was separated and purified for characterization analysis. The results showed that the optimal conditions for the EPS production were culture period, 56 h; growth temperature, 8 degrees C; carbon source, 1.0% glucose; NaCl concentration, 3.0%; pH 6.0 similar to 7.0. The EPS was purified by cold ethanol precipitation, proteins removal, ion exchange chromatography and gel chromatography technology. The molecular mass of EPS - II was 62 kDa as determined by the high performance gel permeation chromatography. Its sugar composition was a homopolymer of mannose analyzed by gas chromatograph spectroscopy. After repeated freezing and thawing of the bacteria biomass in the presence of EPS, the bacterial growth was much higher than that observed after freezing in the absence of EPS and the difference augmented with the increase of freeze-thaw cycles. It is hypothesized that the adaptation of Pseudoalteromonas sp. S - 15 - 13 to the antarctic marine conditions, characterized by low temperature, high NaCl concentration and repeated freeze-thaw cycles, might be related to the EPS production ability.</t>
  </si>
  <si>
    <t>State Ocean Adm, Inst Oceanog 1, Key Lab Marine Bioact Subst, Qingdao 266061, Peoples R China; Shandong Univ, Sch Life Sci, Jinan 250100, Peoples R China</t>
  </si>
  <si>
    <t>First Institute of Oceanography, Ministry of Natural Resources; Shandong University</t>
  </si>
  <si>
    <t>Chen, KH (corresponding author), State Ocean Adm, Inst Oceanog 1, Key Lab Marine Bioact Subst, Qingdao 266061, Peoples R China.</t>
  </si>
  <si>
    <t>ksc313@126.com</t>
  </si>
  <si>
    <t>WOS:000243201300011</t>
  </si>
  <si>
    <t>Kan, GF; Miao, JL; Shi, CL; Li, GY</t>
  </si>
  <si>
    <t>Changes of proteins in the Antarctic ice microalga Chlamydomonas. sp cultured under UV-B radiation stress</t>
  </si>
  <si>
    <t>Antarctic ice alga; Chlamydomonas sp.; UV-B radiation; 2-DE; adaptation mechanisms</t>
  </si>
  <si>
    <t>ULTRAVIOLET-RADIATION; REPAIR; BACTERIOPLANKTON; ELECTROPHORESIS; CYANOBACTERIUM; POLYPEPTIDE; DAMAGE; DNA</t>
  </si>
  <si>
    <t>Antarctic ice microalga Chlamydomonas sp. can thrive undisturbed under high UV radiation in the Antarctic ice layer. However, it is unknown that the initial adaptation mechanisms in protein level occurring in response to high UV radiation. Global-expression profiling of proteins in response to stress was analyzed by two-dimensional electrophoresis (2-DE) and image analysis. In the 2-DE analysis, protein preparation is the key step. Three different protein extract methods were compared, and the results showed that the trichloroacetic acid (TCA)-acetone fractional precipitation method was the fittest one. At the same time, the proteins in Chiamydomonas sp. were compared in 2-DE way, and the synthesis of seven protein spots was found disappeared and 18 decreased after exposed to UV-B radiation. In addition, 14 protein spots were enhanced or induced, among which two new peptides (20 and 21 kDa) appeared whose isoelectric point (pI) was 7.05 and 4.60 respectively. These changed proteins might act as key role in the acclimation of Antarctic ice microalga to UV-B radiation.</t>
  </si>
  <si>
    <t>Harbin Inst Technol Weihai, Sch Ocean, Weihai 264209, Peoples R China; State Ocean Adm Key Lab Marine Bioact Subst, Qingdao 266061, Peoples R China</t>
  </si>
  <si>
    <t>Kan, GF (corresponding author), Harbin Inst Technol Weihai, Sch Ocean, Weihai 264209, Peoples R China.</t>
  </si>
  <si>
    <t>WOS:000237478200013</t>
  </si>
  <si>
    <t>Collins, MA; Rodhouse, PGK</t>
  </si>
  <si>
    <t>Southward, AJ; Young, CM; Fuiman, LA</t>
  </si>
  <si>
    <t>Collins, Martin A.; Rodhouse, Paul G. K.</t>
  </si>
  <si>
    <t>Southern ocean cephalopods</t>
  </si>
  <si>
    <t>ADVANCES IN MARINE BIOLOGY, VOL 50</t>
  </si>
  <si>
    <t>Advances in Marine Biology</t>
  </si>
  <si>
    <t>Review; Book Chapter</t>
  </si>
  <si>
    <t>SQUID MOROTEUTHIS-INGENS; ANTARCTIC FUR SEALS; PENGUIN APTENODYTES-PATAGONICUS; MARTIALIA-HYADESI TEUTHOIDEA; EASTERN WEDDELL SEA; PETRELS PROCELLARIA-AEQUINOCTIALIS; TOOTHFISH DISSOSTICHUS-ELEGINOIDES; KONDAKOVIA-LONGIMANA FILIPPOVA; ARCTOCEPHALUS-GAZELLA PETERS; SOOTY ALBATROSSES PHOEBETRIA</t>
  </si>
  <si>
    <t>The Southern Ocean cephalopod fauna is distinctive, with high levels of endemism in the squid and particularly in the octopodids. Loliginid squid, sepiids and sepiolids are absent from the Southern Ocean, and all the squid are oceanic pelagic species. The octopodids dominate the neritic cephalopod fauna, with high levels of diversity, probably associated with niche separation. In common with temperate cephalopods, Southern Ocean species appear to be semelparous, but growth rates are probably lower and longevity greater than temperate counterparts. Compared with equivalent temperate species, eggs are generally large and fecundity low, with putative long development times. Reproduction may be seasonal in the squid but is extended in the octopodids. Cephalopods play an important role in the ecology of the Southern Ocean, linking the abundant mesopelagic fish and crustaceans with higher predators such as albatross, seals and whales. To date Southern Ocean cephalopods have not been commercially exploited, but there is potential for exploitation of muscular species of the Family Ommastrephidae.</t>
  </si>
  <si>
    <t>Collins, MA (corresponding author), British Antarctic Survey, NERC, High Cross,Madingley Rd, Cambridge CB3 0ET, England.</t>
  </si>
  <si>
    <t>, Martin/ABE-6728-2020; Collins, Martin A/J-8560-2017</t>
  </si>
  <si>
    <t>, Martin/0000-0001-7132-8650; Rodhouse, Paul/0000-0001-5399-967X</t>
  </si>
  <si>
    <t>Natural Environment Research Council [bas010017] Funding Source: researchfish</t>
  </si>
  <si>
    <t>ACADEMIC PRESS LTD-ELSEVIER SCIENCE LTD</t>
  </si>
  <si>
    <t>125 LONDON WALL, LONDON EC2Y 5AS, ENGLAND</t>
  </si>
  <si>
    <t>0065-2881</t>
  </si>
  <si>
    <t>0-12-026151-0</t>
  </si>
  <si>
    <t>ADV MAR BIOL</t>
  </si>
  <si>
    <t>Adv. Mar. Biol.</t>
  </si>
  <si>
    <t>10.1016/S0065-2881(05)50003-8</t>
  </si>
  <si>
    <t>Book Citation Index – Science (BKCI-S); Science Citation Index Expanded (SCI-EXPANDED)</t>
  </si>
  <si>
    <t>BEN09</t>
  </si>
  <si>
    <t>WOS:000238223900003</t>
  </si>
  <si>
    <t>Arndt, CE; Swadling, KM</t>
  </si>
  <si>
    <t>Southward, AJ; Sims, DW</t>
  </si>
  <si>
    <t>Arndt, Carolin E.; Swadling, Kerrie M.</t>
  </si>
  <si>
    <t>Crustacea in Arctic and Antarctic sea ice: Distribution, diet and life history strategies</t>
  </si>
  <si>
    <t>ADVANCES IN MARINE BIOLOGY, VOL 51</t>
  </si>
  <si>
    <t>KRILL EUPHAUSIA-SUPERBA; EASTERN WEDDELL SEA; AMPHIPODS GAMMARUS-WILKITZKII; COPEPOD CALANUS-HYPERBOREUS; SOUTHEASTERN HUDSON-BAY; SYMPAGIC MACRO-FAUNA; FRANZ-JOSEF-LAND; UNDER-ICE; PACK-ICE; PARALABIDOCERA-ANTARCTICA</t>
  </si>
  <si>
    <t>This review concerns crustaceans that associate with sea ice. Particular emphasis is placed on comparing and contrasting the Arctic and Antarctic sea ice habitats, and the subsequent influence of these environments on the life history strategies of the crustacean fauna. Sea ice is the dominant feature of both polar marine ecosystems, playing a central role in physical processes and providing an essential habitat for organisms ranging in size from viruses to whales. Similarities between the Arctic and Antarctic marine ecosystems include variable cover of sea ice over an annual cycle, a light regimen that can extend from months of total darkness to months of continuous light and a pronounced seasonality in primary production. Although there are many similarities, there are also major differences between the two regions: The Antarctic experiences greater seasonal change in its sea ice extent, much of the ice is over very deep water and more than 80% breaks out each year. In contrast, Arctic sea ice often covers comparatively shallow water, doubles in its extent on an annual cycle and the ice may persist for several decades. Crustaceans, particularly copepods and amphipods, are abundant in the sea ice zone at both poles, either living within the brine channel system of the ice-crystal matrix or inhabiting the ice-water interface. Many species associate with ice for only a part of their life cycle, while others appear entirely dependent upon it for reproduction and development. Although similarities exist between the two faunas, many differences are emerging. Most notable are the much higher abundance and biomass of Antarctic copepods, the dominance of the Antarctic sea ice copepod fauna by calanoids, the high euphausiid biomass in Southern Ocean waters and the lack of any species that appear fully dependent on the ice. In the Arctic, the ice-associated fauna is dominated by amphipods. Calanoid copepods are not tightly associated with the ice, while harpacticoids and cyclopoids are abundant. Euphausiids are nearly absent from the high Arctic. Life history strategies are variable, although reproductive cycles and life spans are generally longer than those for temperate congeners. Species at both poles tend to be opportunistic feeders and periods of diapause or other reductions in metabolic expenditure are not uncommon.</t>
  </si>
  <si>
    <t>Univ Tasmania, Sch Zool, Hobart, Tas, Australia; Univ Ctr Svalbard, Longyearbyen, Norway; Univ Tasmania, Tasmanian Aquaculture &amp; Fisheries Inst, Hobart, Tas, Australia; World Climate Res Programme, Geneva, Switzerland</t>
  </si>
  <si>
    <t>University of Tasmania; University Centre Svalbard (UNIS); University of Tasmania</t>
  </si>
  <si>
    <t>Arndt, CE (corresponding author), Univ Tasmania, Sch Zool, Hobart, Tas, Australia.</t>
  </si>
  <si>
    <t>0-12-026152-9</t>
  </si>
  <si>
    <t>10.1016/S0065-2881(06)51004-1</t>
  </si>
  <si>
    <t>BFE93</t>
  </si>
  <si>
    <t>WOS:000241525000004</t>
  </si>
  <si>
    <t>Jagoutz, E</t>
  </si>
  <si>
    <t>Jagoutz, Emil</t>
  </si>
  <si>
    <t>Salt-induced rock fragmentation on Mars: The role of salt in the weathering of Martian rocks</t>
  </si>
  <si>
    <t>ADVANCES IN SPACE RESEARCH</t>
  </si>
  <si>
    <t>mars; weathering; salt activity; fragmentation</t>
  </si>
  <si>
    <t>SPIRIT ROVER; GUSEV CRATER</t>
  </si>
  <si>
    <t>Large well rounded boulders and angular rock fragments characterizes the Martian landscape as seen on the recent excellent quality photos (except: Meridiani landing side, which formed by different processes, and is therefore not considered in this paper). Analyzing the different rock-shapes indicates a time sequence of emplacement, fragmentation and transport of different rocks on Mars, which might give interesting insight into transport and weathering processes. Larger commonly well rounded boulders were emplaced onto gravel plains. After emplacement, these rocks were fragmented and disassembled. Nests of angular rock fragments are marking the locations of preexisting larger rocks. Frequently, it is possible to reconstruct larger rounded rocks from smaller angular fragments. In other cases, transport after fragmentation obscured the relationship of the fragments. However, a strewn field of fragments is still reminiscent of the preexisting rock. Mechanical salt weathering could be a plausible explanation for the in situ fragmentation of larger rounded blocks into angular fragments. Impact or secondary air fall induced fragmentation produces very different patterns. Salt weathering of rocks is a common process in terrestrial environments. Salt crystallization in capillaries causes fragmentation of rocks, irrespective of the process of salt transportation and concentration. On Earth significant salt weathering can be observed in different climatic environments: in the transition zone of alluvial aprons and salt playas in deserts and in dry valleys of Antarctica. In terrestrial semi-arid areas the salt is transported by salt solution, which is progressively concentrated by evaporation. In Antarctic dry valleys freeze-thaw cycles causes salt transportation and crystallization resulting in rock fragmentation. This salt induced process can lead to complete destruction of rocks and converts rocks to fine sand. The efficient breakdown of rocks is dominating the landscape in some dry valleys of the Earth but possibly also on Mars [Malin, Salt weathering on Mars. JGR 79,26, pp. 3888-3894, 1974.]. However, irrespectively of the climatic environment a liquid brine is a necessity for salt induced fragmentation of rocks. If salt weathering is responsible for the fragmented rocks on the Martian surface it implies a temporary presence of liquid H2O. However, due to the present dry atmosphere on Mars, brines can only be present in restricted places without being in equilibrium with the atmosphere. (c) 2005 COSPAR. Published by Elsevier Ltd. All rights reserved.</t>
  </si>
  <si>
    <t>Max Planck Inst Chem, AG Planeten, D-55122 Mainz, Germany</t>
  </si>
  <si>
    <t>Jagoutz, E (corresponding author), Max Planck Inst Chem, AG Planeten, Mainz Saarstr 23, D-55122 Mainz, Germany.</t>
  </si>
  <si>
    <t>jagoutz@mpch-mainz.mpg.de</t>
  </si>
  <si>
    <t>0273-1177</t>
  </si>
  <si>
    <t>1879-1948</t>
  </si>
  <si>
    <t>ADV SPACE RES</t>
  </si>
  <si>
    <t>Adv. Space Res.</t>
  </si>
  <si>
    <t>10.1016/j.asr.2005.07.070</t>
  </si>
  <si>
    <t>Engineering, Aerospace; Astronomy &amp; Astrophysics; Geosciences, Multidisciplinary; Meteorology &amp; Atmospheric Sciences</t>
  </si>
  <si>
    <t>Engineering; Astronomy &amp; Astrophysics; Geology; Meteorology &amp; Atmospheric Sciences</t>
  </si>
  <si>
    <t>V44FH</t>
  </si>
  <si>
    <t>WOS:000202988100022</t>
  </si>
  <si>
    <t>Abyzov, SS; Duxbury, NS; Bobin, NE; Fukuchi, M; Hoover, RB; Kanda, H; Mitskevich, IN; Mulyukin, AL; Naganuma, T; Poglazova, MN; Ivanov, MV</t>
  </si>
  <si>
    <t>Abyzov, S. S.; Duxbury, N. S.; Bobin, N. E.; Fukuchi, M.; Hoover, R. B.; Kanda, H.; Mitskevich, I. N.; Mulyukin, A. L.; Naganuma, T.; Poglazova, M. N.; Ivanov, M. V.</t>
  </si>
  <si>
    <t>Super-long anabiosis of ancient microorganisms in ice and terrestrial models for development of methods to search for life on Mars, Europa and other planetary bodies</t>
  </si>
  <si>
    <t>super-long anabiosis; Antarctic ice sheet; viable microorganisms; terrestrial analogs of martian habitats; Europa; icy satellites; Comets</t>
  </si>
  <si>
    <t>LAKE VOSTOK; BACTERIA; ENVIRONMENT; STARVATION; CLATHRATE; SURVIVAL; CELLS; SOIL</t>
  </si>
  <si>
    <t>Successful missions to Mars, Europe and other bodies of the Solar system have created a prerequisite to search for extraterrestrial life. The first attempts of microbial life detection on the Martian surface by the Viking landed missions gave no biological results. Microbiological investigations of the Martian subsurface ground ice layers seem to be more promising. It is well substantiated to consider the Antarctic ice sheet and the Antarctic and Arctic permafrost as terrestrial analogues of Martian habitats. The results of our long-standing microbiological studies of the Antarctic ice would provide the basis for detection of viable microbial cells on Mars. Our microbiological investigations of the deepest and thus most ancient strata of the Antarctic ice sheet for the first time gave evidence for the natural phenomenon of long-term anabiosis (preservation of viability and vitality for millennia years). A combination of classical microbiological methods, epifluorescence microscopy, SEM, TEM, molecular diagnostics, radioisotope labeling and other techniques made it possible for us to obtain convincing proof of the presence of pro- and eukaryotes in the Antarctic ice sheet. In this communication, we will review and discuss some critical issues related to the detection of viable microorganisms in cold terrestrial environments with regard to future searches for microbial life and/or its biological signatures on extraterrestrial objects. (c) 2005 COSPAR. Published by Elsevier Ltd. All rights reserved.</t>
  </si>
  <si>
    <t>[Abyzov, S. S.; Mitskevich, I. N.; Mulyukin, A. L.; Poglazova, M. N.; Ivanov, M. V.] Russian Acad Sci, Wingradsky Inst Microbiol, Moscow 117312, Russia; [Duxbury, N. S.] CALTECH, JPL, Pasadena, CA 91125 USA; [Bobin, N. E.] St Petersburg Min Inst, St Petersburg 199026, Russia; [Bobin, N. E.] Natl Inst Polar Res, Tokyo, Japan; [Hoover, R. B.] Dept Space Sci, Huntsville, AL 35805 USA; [Naganuma, T.] Hiroshima Univ, Sch Biosphere Sci, Higashihiroshima 724, Japan</t>
  </si>
  <si>
    <t>Russian Academy of Sciences; Research Center of Biotechnology RAS; National Aeronautics &amp; Space Administration (NASA); NASA Jet Propulsion Laboratory (JPL); California Institute of Technology; Saint Petersburg Mining University; Research Organization of Information &amp; Systems (ROIS); National Institute of Polar Research (NIPR) - Japan; Hiroshima University</t>
  </si>
  <si>
    <t>Mulyukin, AL (corresponding author), Russian Acad Sci, Wingradsky Inst Microbiol, Pr 60 Letiya Oktyabrya 7-2, Moscow 117312, Russia.</t>
  </si>
  <si>
    <t>abyzov@inmi.host.ru; spmi@mail.wplus.net; fukuchi@nipr.ac.jp; Richard.Hoover@msfc.nasa.gov; andylm@rambler.ru; takn@hiroshima-u.ac.jp</t>
  </si>
  <si>
    <t>Naganuma, Takeshi/AAX-7064-2021; Mulyukin, A./AAU-1036-2021</t>
  </si>
  <si>
    <t>Naganuma, Takeshi/0000-0003-1925-9461;</t>
  </si>
  <si>
    <t>10.1016/j.asr.2005.05.034</t>
  </si>
  <si>
    <t>V44FJ</t>
  </si>
  <si>
    <t>WOS:000202988300026</t>
  </si>
  <si>
    <t>Parkinson, ML; Dyson, PL; Pinnock, M</t>
  </si>
  <si>
    <t>Parkinson, M. L.; Dyson, P. L.; Pinnock, M.</t>
  </si>
  <si>
    <t>On the occurrence of auroral westward flow channels and substorm phase</t>
  </si>
  <si>
    <t>auroral ionosphere; electric fields and currents; Ionosphere-magnetosphere interactions; storms and substorms</t>
  </si>
  <si>
    <t>SUBAURORAL ION DRIFTS; ELECTRIC-FIELDS; RADAR; CONVECTION; MODEL</t>
  </si>
  <si>
    <t>Auroral westward flow channels (AWFCs) are intense, narrow channels of westward drift overlapping the equatorward edge of the auroral oval in the pre-magnetic midnight sector. They are a close relative of the sub-auroral polarisation stream which encompasses polarisation jets, a phenomenon also known as sub-auroral ion drift events. Recent observations made with the Tasman Geospace Environment Radar (TIGER) (147.2 degrees E, 43.4 degrees S Geodetic-, 55.0 degrees Geomagnetic) have revealed close associations between the appearance of AWFCs and substorm onset, and their subsequent decay toward the end of recovery phase. In fact, in terms of electric field strength, they are the strongest signatures of substorms in the ionospheric convection (&gt;50 mV m(-1)). In terms of electric potential difference (&gt;10 kV), they also represent a substantial fraction of the total potential difference generated during substorms. The AWFCs exhibit a diverse range of behaviour, there being no typical event. The radar observations show that radial polarisation fields sometimes oscillate towards and away from the Earth, and bifurcate, within regions of closed flux in the magnetotail throughout substorm evolution. We have identified every AWFC observed by TIGER during the first year of operation, 2000. Simple statistical arguments imply that one, if not more, AWFC probably occurs during every substorm. AWFCs are a fundamental aspect of substorm evolution. (C) 2005 COSPAR. Published by Elsevier Ltd. All rights reserved.</t>
  </si>
  <si>
    <t>[Parkinson, M. L.; Dyson, P. L.] La Trobe Univ, Dept Phys, Melbourne, Vic 3086, Australia; [Pinnock, M.] British Antarctic Survey, Nat Environm Res Council, Cambridge CB3 0ET, England</t>
  </si>
  <si>
    <t>La Trobe University; UK Research &amp; Innovation (UKRI); Natural Environment Research Council (NERC); NERC British Antarctic Survey</t>
  </si>
  <si>
    <t>Parkinson, ML (corresponding author), La Trobe Univ, Dept Phys, Melbourne, Vic 3086, Australia.</t>
  </si>
  <si>
    <t>m.parkinson@latrobe.edu.au</t>
  </si>
  <si>
    <t>Natural Environment Research Council [bas010004, bas010021] Funding Source: researchfish; NERC [bas010021, bas010004] Funding Source: UKRI</t>
  </si>
  <si>
    <t>10.1016/j.asr.2005.08.028</t>
  </si>
  <si>
    <t>V44FL</t>
  </si>
  <si>
    <t>WOS:000202988500028</t>
  </si>
  <si>
    <t>Timchenko, AI; Mardon, AA; Greenspon, JA</t>
  </si>
  <si>
    <t>Timchenko, A. I.; Mardon, A. A.; Greenspon, J. A.</t>
  </si>
  <si>
    <t>New approach in the problem of subsurface objects detection using remote sensing technique</t>
  </si>
  <si>
    <t>remote sensing; buried objects; synthetic aperture radar (SAR) images</t>
  </si>
  <si>
    <t>ANGULAR-CORRELATION FUNCTION; C/X-SAR DATA; EASTERN SAHARA; BIR-SAFSAF; RADAR; SCATTERING; EGYPT</t>
  </si>
  <si>
    <t>This study investigates the problem of detecting buried objects. The work was directed at the processing of synthetic aperture radar (SAR) images. In order to model the scattering of a group of objects embedded in a lossy medium under a rough boundary, we applied the method of Green's functions and extended the Kirchhoff approximation for the case of composed systems. With this model, we studied the radar response in the form of intensity and correlation imaging function and found that the application of the correlation imaging function significantly improves a ratio between the scattered signal from buried objects and the scattering from a rough boundary. As a result, the detection of buried objects can be realized on larger lengths and with stronger roughness of boundary. To reduce the influence of wave decaying in the lossy medium, we introduced a weighting function. Comparison of radar return with and without this weighting function proved the effectiveness of our method. This allowed us to obtain the object's image with a much smaller level of signal, and processing the scattered signal with additional weighting function enabled to estimate the depth at which the objects are buried under the boundary. (C) 2006 COSPAR. Published by Elsevier Ltd. All rights reserved.</t>
  </si>
  <si>
    <t>[Timchenko, A. I.] Natl Acad Sci Ukraine, Inst Radiophys &amp; Elect, UA-61085 Kharkov, Ukraine; [Mardon, A. A.] Antarctic Inst Canada, Edmonton, AB T6G 2J1, Canada</t>
  </si>
  <si>
    <t>National Academy of Sciences Ukraine; O. Ya. Usikov Institute for Radio Physics &amp; Electronics, National Academy of Sciences of Ukraine</t>
  </si>
  <si>
    <t>Timchenko, AI (corresponding author), Natl Acad Sci Ukraine, Inst Radiophys &amp; Elect, Proscura 12, UA-61085 Kharkov, Ukraine.</t>
  </si>
  <si>
    <t>timchenko@ire.kharkov.ua; mardon@freenet.edmonton.ab.ca</t>
  </si>
  <si>
    <t>10.1016/j.asr.2006.07.003</t>
  </si>
  <si>
    <t>V44FN</t>
  </si>
  <si>
    <t>WOS:000202988700011</t>
  </si>
  <si>
    <t>Chung, JK; Kim, YH; Won, YI; Moon, BK; Oh, TH</t>
  </si>
  <si>
    <t>Chung, J. -K.; Kim, Y. H.; Won, Y. -I.; Moon, B. K.; Oh, T. H.</t>
  </si>
  <si>
    <t>Observation of temperatures and emission rates from the OH and O2 nightglow over a southern high latitude station</t>
  </si>
  <si>
    <t>mesospheric airglow; tidal oscillation at high latitude; gravity waves</t>
  </si>
  <si>
    <t>POLE STATION; AIRGLOW; OSCILLATIONS; WAVES; MESOSPHERE</t>
  </si>
  <si>
    <t>A Spectral Airglow Temperature Imager (SATI) was operated at King Sejong Station (62 degrees 13'S, 58 degrees 47'W), Korea Antarctic Research Station during the period of March, 2002-September, 2003. We analyze rotational temperatures and emission rates of the O-2 (0-1) and OH (6-2) nightglows obtained at 67 nights with clear sky lasting more than 4 h. A spectral analysis of the dataset shows two dominant oscillations with periods of 4 and 6 h. The 6-h oscillations have a nearly constant phase, whereas the 4-h oscillations have nearly random phases. Although the harmonic periods of both oscillations are suggestive of tidal origin, the 4-h oscillation may have interference by other sources such as gravity waves. The 6-h oscillations could be interpreted as zonally symmetric non-migrating tides because migrating tides except high order modes have very weak amplitudes at high latitudes according to the classical tidal theory. For most cases of the observed oscillations the temperature peak leads the intensity peak, which is consistent with theoretical models for zonally symmetric tides, but contrary to other theoretical models for waves. It is needed to resolve among theoretical models whether or not zonally symmetric tide cause temperature variation prior to intensity variation in mesospheric airglows. (C) 2006 Published by Elsevier Ltd on behalf of COSPAR.</t>
  </si>
  <si>
    <t>[Kim, Y. H.; Moon, B. K.; Oh, T. H.] Chungnam Natl Univ, Dept Astron &amp; Space Sci, Taejon 305764, South Korea; [Chung, J. -K.] Korea Astron &amp; Space sci Inst, Space Geodesy Res Grp, Taejon 305348, South Korea; [Won, Y. -I.] Korea Polar Inst, Korea Ocean R&amp; D Inst, Ansan 425170, South Korea</t>
  </si>
  <si>
    <t>Chungnam National University; Korea Astronomy &amp; Space Science Institute (KASI); Korea Institute of Ocean Science &amp; Technology (KIOST)</t>
  </si>
  <si>
    <t>Kim, YH (corresponding author), Chungnam Natl Univ, Dept Astron &amp; Space Sci, Taejon 305764, South Korea.</t>
  </si>
  <si>
    <t>Yhkim@cnu.ac.kr</t>
  </si>
  <si>
    <t>Kim, Yong Ha/AAS-9908-2021; Chunbg, Jong-Kyun/AAI-9934-2020</t>
  </si>
  <si>
    <t>10.1016/j.asr.2005.07.041</t>
  </si>
  <si>
    <t>V44FO</t>
  </si>
  <si>
    <t>WOS:000202988800011</t>
  </si>
  <si>
    <t>Jiang, JH; Eckermann, SD; Wu, DL; Wang, DY</t>
  </si>
  <si>
    <t>Jiang, Jonathan H.; Eckermann, Stephen D.; Wu, Dong L.; Wang, Ding Yi</t>
  </si>
  <si>
    <t>Inter-annual variation of gravity waves in the Arctic and Antarctic winter middle atmosphere</t>
  </si>
  <si>
    <t>Arctic; Antarctic; middle atmosphere; gravity wave; UARS MLS; satellite observation</t>
  </si>
  <si>
    <t>LIMB SOUNDER OBSERVATIONS; MOUNTAIN WAVES; STRATOSPHERE; MLS; CLIMATOLOGY; SPECTRA; CLOUDS</t>
  </si>
  <si>
    <t>High latitude, middle atmospheric (28-80 km) gravity wave observations from the Microwave Limb sounder (MLS) on the Upper Atmosphere Research Satellite (UARS) are available during five Arctic and Antarctic winters between 1991 and 1997. Newer data from NOAA Advanced Microwave Sounding Unit (AMSU) instruments have been introduced recently, in order to extend the gravity wave measurements from 1998 to present. Analyses of MLS and AMSU data show substantial inter-annual variability in both magnitude and spatial patterns of gravity wave activity at both Arctic and Antarctic latitudes. (C) 2005 COSPAR. Published by Elsevier Ltd. All rights reserved.</t>
  </si>
  <si>
    <t>[Jiang, Jonathan H.; Wu, Dong L.] CALTECH, Jet Prop Lab, Pasadena, CA 91109 USA; [Eckermann, Stephen D.] USN, Res Lab, Middle Atmosphere Dynam Sect, Washington, DC USA; [Wang, Ding Yi] Forschungszentrum Karlsruhe, Karlsruhe, Germany; [Wang, Ding Yi] Univ Karlsruhe, Inst Meteorol &amp; Klimaforsch, Karlsruhe, Germany</t>
  </si>
  <si>
    <t>National Aeronautics &amp; Space Administration (NASA); NASA Jet Propulsion Laboratory (JPL); California Institute of Technology; United States Department of Defense; United States Navy; Naval Research Laboratory; Helmholtz Association; Karlsruhe Institute of Technology; Helmholtz Association; Karlsruhe Institute of Technology</t>
  </si>
  <si>
    <t>Jiang, JH (corresponding author), CALTECH, Jet Prop Lab, 4800 Oak Grove Dr,Mail Stop 183-701, Pasadena, CA 91109 USA.</t>
  </si>
  <si>
    <t>jonathan@mlsjpl.nasa.gov</t>
  </si>
  <si>
    <t>Wu, Dong L/D-5375-2012</t>
  </si>
  <si>
    <t>10.1016/j.asr.2005.09.036</t>
  </si>
  <si>
    <t>WOS:000202988800018</t>
  </si>
  <si>
    <t>Roscoe, HK</t>
  </si>
  <si>
    <t>Roscoe, H. K.</t>
  </si>
  <si>
    <t>The Brewer-Dobson circulation in the stratosphere and mesosphere - Is there a trend?</t>
  </si>
  <si>
    <t>Brewer-Dobson circulation; stratosphere; mesosphere</t>
  </si>
  <si>
    <t>WATER-VAPOR; CLIMATE; TEMPERATURES; TROPOSPHERE; TROPOPAUSE; WINTER</t>
  </si>
  <si>
    <t>The Brewer-Dobson circulation brings tropospheric air, accompanied by CFCs and greenhouse gases, into the stratosphere. Many models predict an increased circulation associated with an increase in greenhouse gases, such as that since the 1960s. A recent observation supports this: the rate at which total ozone increases in Antarctica during early winter is consistent with the descent and convergence that are part of the Brewer-Dobson circulation; at 65 degrees S the rate doubled between the 1960s and 1990s. Another recent observation may also support this: the decrease in temperature since 1960 in the Antarctic mid-winter lower stratosphere is much less than the decrease calculated from the greenhouse effect of increased H2O, suggesting less CH4 oxidation in the 1970s; this could be caused by an increase in Brewer-Dobson circulation during the 1970s. An important paradox may be resolved by an increase in Brewer-Dobson circulation: the decrease in tropical cold-point temperature since the 1960s conflicts with the increase in mid-latitude H2O in the lower stratosphere, if it represents an increase at tropical entry of H2O; the conflict could be resolved if dehydration during stratospheric entry is incomplete and the circulation has increased. (C) 2006 COSPAR. Published by Elsevier Ltd. All rights reserved.</t>
  </si>
  <si>
    <t>Roscoe, HK (corresponding author), British Antarctic Survey, NERC, Madingley Rd, Cambridge CB3 0ET, England.</t>
  </si>
  <si>
    <t>hkro@bas.ac.uk</t>
  </si>
  <si>
    <t>Natural Environment Research Council [bas010008, bas010020] Funding Source: researchfish; NERC [bas010020, bas010008] Funding Source: UKRI</t>
  </si>
  <si>
    <t>10.1016/j.asr.2006.02.078</t>
  </si>
  <si>
    <t>WOS:000202988800022</t>
  </si>
  <si>
    <t>Blagoveshchenskaya, NF; Kornienko, VA; Borisova, TD; Rietveld, MT; Bösinger, T; Thidé, B; Leyser, TB; Brekke, A</t>
  </si>
  <si>
    <t>Blagoveshchenskaya, N. F.; Kornienko, V. A.; Borisova, T. D.; Rietveld, M. T.; Bosinger, T.; Thide, B.; Leyser, T. B.; Brekke, A.</t>
  </si>
  <si>
    <t>Heater-induced phenomena in a coupled ionosphere-magnetosphere system</t>
  </si>
  <si>
    <t>ionosphere (active experiments-ionosphere-magnetosphere interaction); radio science (nonlinear phenomena)</t>
  </si>
  <si>
    <t>RADIO-WAVES; AURORAL ELECTROJET; HIGH-LATITUDES; SPORADIC-E; AIRGLOW; PLASMA; EISCAT; ARECIBO</t>
  </si>
  <si>
    <t>Experimental results from HF pumping experiments in the nightside auroral E and F region are reported. The experiments were carried out by the use of the EISCAT HF heating facility located near Tromso, Norway, allowing HF pumping the ionosphere in a near magnetic field-aligned direction. We present experimental results from multi-instrument observations related to heater-induced phenomena in a coupled ionosphere-magnetosphere system. The following results have been observed on different occasions: a reverberation effect in scattered signals observed simultaneously on two diagnostic paths which is an indication of Alfven wave generation. This phenomenon was seen under specific disturbed background geophysical conditions, namely, a high electron density in the F region up to 8 MHz produced by soft electron precipitation from the magnetosphere along with low electron density in lower ionosphere; increased ionospheric electric fields; ion outflows from the ionosphere. On another occasion a magnetospheric response to heater turning on and off was found from magnetic pulsation observations over a frequency range up to 5 Hz (the upper frequency limit of the sensitive magnetometer at Kilpisjarvi, located near Tromso). The response manifests itself about 1 min after the heater is turned on and off. Other results have shown the modification of a natural auroral arc and local spiral-like formation. It is thought that a local heater-driven current system is formed. An interesting feature is the generation of the heater-induced ion outflows from the ionosphere. They are observed in night hours under both quiet and disturbed magnetic conditions. (c) 2005 COSPAR. Published by Elsevier Ltd. All rights reserved.</t>
  </si>
  <si>
    <t>[Blagoveshchenskaya, N. F.] Arctic &amp; Antarctic Res Inst, Dept Geophys, St Petersburg 199397, Russia; [Rietveld, M. T.] EISCAT, N-9027 Ramfjordbotn, Norway; [Bosinger, T.] Univ Oulu, FIN-90014 Oulu, Finland; [Thide, B.; Leyser, T. B.] Swedish Inst Space Phys, SE-75221 Uppsala, Sweden; [Brekke, A.] Univ Tromso, N-9037 Tromso, Norway</t>
  </si>
  <si>
    <t>Arctic &amp; Antarctic Research Institute; University of Oulu; UiT The Arctic University of Tromso</t>
  </si>
  <si>
    <t>Blagoveshchenskaya, NF (corresponding author), Arctic &amp; Antarctic Res Inst, Dept Geophys, 38 Bering St, St Petersburg 199397, Russia.</t>
  </si>
  <si>
    <t>nataly@aari.nw.ru; mike@eiscat.uit.no; tilmann.bosinger@oulu.fi; bt@irfu.se; Asgeir.Brekke@phys.uit.no</t>
  </si>
  <si>
    <t>Borisova, Tatiana/AAK-7698-2020; Blagoveshchenskaya, Nataly/AAE-4093-2022; Thide, Bo/B-7734-2009; Blagoveshchenskaya, Nataly F./S-4342-2017</t>
  </si>
  <si>
    <t>Blagoveshchenskaya, Nataly/0000-0003-1752-3273; Blagoveshchenskaya, Nataly F./0000-0003-1752-3273</t>
  </si>
  <si>
    <t>10.1016/j.asr.2004.12.047</t>
  </si>
  <si>
    <t>WOS:000202988800031</t>
  </si>
  <si>
    <t>Blagoveshchenskaya, NF; Borlsova, TD; Kornienko, VA; Leyser, TB; Rietveld, MT; Thidé, B</t>
  </si>
  <si>
    <t>Blagoveshchenskaya, N. F.; Borlsova, T. D.; Kornienko, V. A.; Leyser, T. B.; Rietveld, M. T.; Thide, B.</t>
  </si>
  <si>
    <t>Artificial field-aligned irregularities in the nightside auroral ionosphere</t>
  </si>
  <si>
    <t>powerful HF radio wave; auroral ionosphere; nonlinear phenomena; artificial field-aligned irregularities; ionosphere modification; bistatic HF doppler radio scatter</t>
  </si>
  <si>
    <t>E-REGION IRREGULARITIES; STRIATIONS; TROMSO; LATITUDES; CUTLASS; SHIFT</t>
  </si>
  <si>
    <t>Experimental results from two Tromso HF heating experiments in the nightside high latitudinal F region are examined. Bi-static scatter measurements of HF diagnostic signals were carried out on the London-Tromso-St. Petersburg and Pori-Tromso-St. Petersburg paths using a Doppler spectral method. The properties and behaviour of artificial field-aligned small-scale irregularities (striations) in the nightside high latitudinal F-region in course of the Tromso ionospheric modification experiments are studied. Experimental studies have been performed by the use of phased array I with a beamwidth of 6 degrees instead of 12-14 degrees in phased array 2, more often used in Tromso ionospheric modification experiments. The comparison between two experiments carried out in the same background geophysical conditions, shows the strongest striations in the field-aligned position of the heater beam. Possible explanation for this angular dependence is self-focusing of HF pump waves on striations causing the energy to be distributed asymmetrically. A principal question related to HF heating experiments is how is the disturbed auroral ionosphere modified. The results obtained on two paths simultaneously have shown that the strong heater-induced striations were observed along with natural ones. Velocities of heater-induced striations were quite different at different parts of the heated volume. It is suggested that the heater-induced striations can be grouped in two patches at different heights possibly due to the temperature-gradient-driven instability. (c) 2004 COSPAR. Published by Elsevier Ltd. All rights reserved.</t>
  </si>
  <si>
    <t>[Blagoveshchenskaya, N. F.; Borlsova, T. D.; Kornienko, V. A.] Arctic &amp; Antarctic Res Inst, Dept Geophys, St Petersburg 199397, Russia; [Leyser, T. B.; Thide, B.] Swedish Inst Space Phys, SE-75221 Uppsala, Sweden; [Rietveld, M. T.] EISCAT, N-9027 Ramfjordbotn, Norway</t>
  </si>
  <si>
    <t>Arctic &amp; Antarctic Research Institute</t>
  </si>
  <si>
    <t>nataly@aari.nw.ru; mike@eiscat.uit.no; bt@irfu.se</t>
  </si>
  <si>
    <t>Blagoveshchenskaya, Nataly F./S-4342-2017; Blagoveshchenskaya, Nataly/AAE-4093-2022; Thide, Bo/B-7734-2009</t>
  </si>
  <si>
    <t>Blagoveshchenskaya, Nataly F./0000-0003-1752-3273; Blagoveshchenskaya, Nataly/0000-0003-1752-3273;</t>
  </si>
  <si>
    <t>10.1016/j.asr.2004.12.008</t>
  </si>
  <si>
    <t>WOS:000202988800032</t>
  </si>
  <si>
    <t>Krankowski, A; Shagimuratov, II; Baran, LW; Ephishov, II; Tepenitzyna, NJ</t>
  </si>
  <si>
    <t>Krankowski, A.; Shagimuratov, I. I.; Baran, L. W.; Ephishov, I. I.; Tepenitzyna, N. J.</t>
  </si>
  <si>
    <t>The occurrence of polar cap patches in TEC fluctuations detected using GPS measurements in southern hemisphere</t>
  </si>
  <si>
    <t>GPS; TEC fluctuations; modeling of ionosphere; polar cap patches</t>
  </si>
  <si>
    <t>SYSTEM PHASE FLUCTUATIONS; F-REGION PATCHES; LAYER PATCHES; IRREGULARITIES; BLOBS</t>
  </si>
  <si>
    <t>GPS technique is widely used to study the global structure and dynamics of the ionosphere. This paper presents data on the occurrence of large-scale ionospheric irregularities observed at Antarctic stations McMurdo-MCM4 (-78N, 167E, Phi = 80 degrees), Casey-CAS1 (-66N, 110E, Phi = 80 degrees), Mawson-MAWI (-68N, 63E, Phi = 71 degrees), and Davis-DAV1 (-69N, 78E, Phi = 75 degrees) in 2001. The irregularities caused strong Total Electron Content fluctuations. The intensity of TEC fluctuations was estimated with the ROT parameter and rate of TEC index (ROT1) expressed in TECU/min. Storm-time development of TEC fluctuations are presented for two geomagnetic active periods: June and September 2001. Data on temporal variations in TEC along individual satellites passes were also analyzed. Polar patches were associated with deep TEC fluctuations as the TEC enhancements were 2-10 times larger than the background, whereas the TEC increased by 10-50 TECU in about 5-10 min. The duration of such structures is 10-20 min. At 4-5 h interval, 3-5 strong and some weak patches were detected. The activity of patches depends to a low degree only on the magnetic activity index Kp. The intensity of TEC fluctuations increases during substorm activity. Diurnal, seasonal dependence, and longitudinal features of the occurrence of polar patches are also presented in the report. (c) 2005 COSPAR. Published by Elsevier Ltd. All rights reserved.</t>
  </si>
  <si>
    <t>[Krankowski, A.; Baran, L. W.] Univ Warmia &amp; Mazury, Inst Geodesy, PL-10957 Olsztyn, Poland; [Shagimuratov, I. I.; Ephishov, I. I.; Tepenitzyna, N. J.] WD IZMIRAN, Kaliningrad 236017, Russia</t>
  </si>
  <si>
    <t>kand@uwm.edu.pl; pcizmiran@gazinter.net</t>
  </si>
  <si>
    <t>10.1016/j.asr.2005.12.006</t>
  </si>
  <si>
    <t>WOS:000202988800047</t>
  </si>
  <si>
    <t>Brum, CGM; Abdu, MA; Batista, IS; Carrasco, AJ; Terra, PM</t>
  </si>
  <si>
    <t>Bilitza, D; Reinisch, B</t>
  </si>
  <si>
    <t>Brum, C. G. M.; Abdu, M. A.; Batista, I. S.; Carrasco, A. J.; Terra, P. M.</t>
  </si>
  <si>
    <t>Numerical simulation of nighttime electron precipitation in the lower ionosphere over a sub-auroral region</t>
  </si>
  <si>
    <t>ADVANCES IN SPECIFYING PLASMA TEMPERATURES AND ION COMPOSITION IN THE IONOSPHERE</t>
  </si>
  <si>
    <t>ADVANCES IN SPACE RESEARCH-SERIES</t>
  </si>
  <si>
    <t>35th COSPAR Scientific Assembly</t>
  </si>
  <si>
    <t>JUL 18-25, 2004</t>
  </si>
  <si>
    <t>computational simulation of electron precipitation events; Sub-auroral lower ionosphere; Cosmic noise absorption</t>
  </si>
  <si>
    <t>THERMOSPHERE; MODEL</t>
  </si>
  <si>
    <t>This work presents computational simulations of electron precipitation events in the lower ionosphere to explain 30 MHz riometer absorption events registered at the Brazilian Antarctic Station - BAS (62.56 degrees S; 58.39 degrees W). The simulations are based on the calculation of ion production rates from different sources (interplanetary and geocoronal ultraviolet radiations, energetic electrons and cosmic rays) and the use of a detailed ion chemical scheme to obtain the electron density which is then used to calculate the absorption at 30 MHz. The electron density calculations were performed using the continuity equations for 25 positive ions and 10 negative ions, involving 175 chemical reactions, that are solved under chemical equilibrium condition. The simulation results show that a flux of approximate to 2.5 x 10(6) electrons cm(-2) s(-1) can increase the ionospheric cosmic noise absorption by I dB. The results also show that the amplitude of the maximum absorption is sensitive to variations in the precipitated electron flux in the energy range of 98-320 keV that affect most the height region of 65-85 km, and that a larger contribution of the ionospheric absorption due to electron precipitation arising from above the height of absorption peak (rather than from below it), that is, the lower energy range of the precipitated electron spectra has a more dominant contribution to the attenuation of the galactic cosmic noise signal. (c) 2006 COSPAR. Published by Elsevier Ltd. All rights reserved.</t>
  </si>
  <si>
    <t>Inst Nacl Pesquisas Espaciais, BR-12245970 Sao Jose Dos Campos, SP, Brazil</t>
  </si>
  <si>
    <t>Instituto Nacional de Pesquisas Espaciais (INPE)</t>
  </si>
  <si>
    <t>Brum, CGM (corresponding author), Inst Nacl Pesquisas Espaciais, Cx Postal 515, BR-12245970 Sao Jose Dos Campos, SP, Brazil.</t>
  </si>
  <si>
    <t>garnett@dae.inpe.br</t>
  </si>
  <si>
    <t>Batista, Inez S/F-2899-2012</t>
  </si>
  <si>
    <t>Garnett Marques Brum, Christiano/0000-0001-6515-7621; Batista, Inez/0000-0001-5385-4112; Terra, Pedrina/0000-0002-9768-4597</t>
  </si>
  <si>
    <t>ELSEVIER SCIENCE LTD</t>
  </si>
  <si>
    <t>THE BOULEVARD, LANGFORD LANE, KIDLINGTON, OXFORD 0X5 1GB, OXON, ENGLAND</t>
  </si>
  <si>
    <t>ADV SPACE RES-SERIES</t>
  </si>
  <si>
    <t>10.1016/j.asr.2006.02.003</t>
  </si>
  <si>
    <t>BEO08</t>
  </si>
  <si>
    <t>WOS:000238387900024</t>
  </si>
  <si>
    <t>Barillot, M; Courteau, P; Absil, O; du Forest, VC; Swain, M</t>
  </si>
  <si>
    <t>Monnier, JD; Scholler, M; Danchi, WC</t>
  </si>
  <si>
    <t>Barillot, Marc; Courteau, Pascal; Absil, Olivier; du Forest, Vincent Coude; Swain, Mark</t>
  </si>
  <si>
    <t>Conceptual design of the ALADDIN Antarctic nulling interferometer</t>
  </si>
  <si>
    <t>ADVANCES IN STELLAR INTERFEROMETRY PTS 1 AND 2</t>
  </si>
  <si>
    <t>Proceedings of SPIE</t>
  </si>
  <si>
    <t>Conference on Advances in Stellar Interferometry</t>
  </si>
  <si>
    <t>MAY 25-30, 2006</t>
  </si>
  <si>
    <t>Darwin; TPF; GENIE; interferometry; nulling; Antarctica; optics; instrumentation; astronomy</t>
  </si>
  <si>
    <t>SCIENCE; DARWIN; GENIE</t>
  </si>
  <si>
    <t>It is commonly accepted that highly challenging planet finding missions such as Darwin and TPF need precursors on the ground, for both technological demonstration and study of the exozodiacal clouds around potential targets. A first instrument, GENIE, designed to be implemented in the interferometric laboratory of the VLTI, was studied by ESA and scientific/industrial teams. In this paper we present a concept for ALADDIN, an operational nulling instrument to be implemented at Dome C in Antarctica, and discuss the comparison with GENIE from the instrumental point of view. Our preliminary design involves moderate similar to 1m size telescopes mounted on a 40m long rotating beam allowing baselines up to 30m and feeding a 2-arm nulling beam combiner. When compared to GENIE, the rotating beam design has the advantage of removing the need for both long-stroke delay line and dispersion control equipments. As a side effect, the instrumental arrangement of ALADDIN finds itself more representative of what Darwin will be. Furthermore, critical issues like phase control, photometric balance and instrumental background suppression are expected to be relaxed by the improved atmospheric conditions, lower temperature, and simpler optical trains. Calibration of geometrical stellar leakage will make advantage of the continuously adjustable baseline. As results, a simpler instrument showing improved performance is expected. In conclusion, we see our ALADDIN concept as a valuable alternative to GENIE, with a quite stronger scientific potential and a considerably simplified instrumental design.</t>
  </si>
  <si>
    <t>[Barillot, Marc; Courteau, Pascal] Alcatel Alenia Space, 100 Bd Midi, F-06156 Cannes La Bocca, France; [Absil, Olivier] Univ Liege, B-4000 Cointe Ougree, Belgium; [du Forest, Vincent Coude] Observ Paris, LESIA, F-92195 Meudon, France; [Swain, Mark] Max Planck Inst Astron, D-69117 Heidelberg, Germany</t>
  </si>
  <si>
    <t>Alcatel-Lucent; Thales Group; University of Liege; Universite PSL; Observatoire de Paris; Max Planck Society</t>
  </si>
  <si>
    <t>Barillot, M (corresponding author), Alcatel Alenia Space, 100 Bd Midi, F-06156 Cannes La Bocca, France.</t>
  </si>
  <si>
    <t>marc.barillot@alcatelaleniaspace.com; pascal.courteau@alcatelaieniaspace.com; olivier.absil@ulg.ac.be; vincent.foresto@obspm.fr; swain@mpia.de</t>
  </si>
  <si>
    <t>SPIE-INT SOC OPTICAL ENGINEERING</t>
  </si>
  <si>
    <t>BELLINGHAM</t>
  </si>
  <si>
    <t>1000 20TH ST, PO BOX 10, BELLINGHAM, WA 98227-0010 USA</t>
  </si>
  <si>
    <t>0277-786X</t>
  </si>
  <si>
    <t>1996-756X</t>
  </si>
  <si>
    <t>0-8194-6333-7</t>
  </si>
  <si>
    <t>PROC SPIE</t>
  </si>
  <si>
    <t>62682Z</t>
  </si>
  <si>
    <t>10.1117/12.671722</t>
  </si>
  <si>
    <t>Engineering, Aerospace; Instruments &amp; Instrumentation</t>
  </si>
  <si>
    <t>Engineering; Instruments &amp; Instrumentation</t>
  </si>
  <si>
    <t>BEZ48</t>
  </si>
  <si>
    <t>WOS:000240312800096</t>
  </si>
  <si>
    <t>Brunswick, R; Cook, BH; Pentland, G; Sperber, P</t>
  </si>
  <si>
    <t>Brunswick, R.; Cook, B. H.; Pentland, G.; Sperber, P.</t>
  </si>
  <si>
    <t>Telescope design considerations and a unique approach to delay line construction for the proposed Antarctic interferometer at Dome C</t>
  </si>
  <si>
    <t>telescope; Antarctica; Dome C; interferometry; delay line; vacuum</t>
  </si>
  <si>
    <t>IRAIT PROJECT</t>
  </si>
  <si>
    <t>Dome C is probably the best accessible site on earth for infrared interferometry, but siting an interferometer on the Antarctic plateau poses significant technical problems. EOS Technologies has studied how existing interferometric telescopes can be adapted to the Antarctic environment, having completed a design study for the Pathfinder for an International Large Optical Telescope (PILOT)(1), and has proposed a unique technique for manufacturing delay lines on site, from prefinished coil stock. Modifications to EOST's standard 2m class telescopes are discussed, including lubrication options and differential expansion of materials assembled at room temperature and cooled to -70 degrees C, as well as continuous, high precision delay line construction, using patented rotary sizing technology.</t>
  </si>
  <si>
    <t>EOS Technol Inc, 3160 E Transcon Way, Tucson, AZ 85706 USA</t>
  </si>
  <si>
    <t>Brunswick, R (corresponding author), EOS Technol Inc, 3160 E Transcon Way, Tucson, AZ 85706 USA.</t>
  </si>
  <si>
    <t>10.1117/12.671800</t>
  </si>
  <si>
    <t>WOS:000240312800037</t>
  </si>
  <si>
    <t>du Foresto, VC; Absil, O; Swain, M; Vakili, F; Barillot, M</t>
  </si>
  <si>
    <t>du Foresto, V. Coude; Absil, O.; Swain, M.; Vakili, F.; Barillot, M.</t>
  </si>
  <si>
    <t>ALADDIN: An optimized nulling ground based demonstrator for Darwin</t>
  </si>
  <si>
    <t>instrumentation : interferometers; antarctic astronomy; techniques : interferometric; planetary systems; protoplanetary disks</t>
  </si>
  <si>
    <t>The ESA Darwin space mission will require a ground based precursor to i/ demonstrate nulling interferometry in an operational context and ii/ carry out some precursor science, such as the characterization of the level of exozodiacal light around the main Darwin targets. These are the stated objectives of the GENIE nulling instrument that was studied for the VLTI. We argue here that the same objectives can be met in a more efficient way by an antarctic-based nulling experiment. The ALADDIN mission concept is an integrated L-band nulling breadboard with relatively modest collectors (1 m) and baseline (i40m). Because of its privileged location, this is sufficient to achieve a sensitivity (in terms of detectable zodi levels) which is 1.6 to 3.5 times better than GENIE at the VLTI, bringing it below the 20-zodi threshold value identified to carry out the Darwin precursor science. The integrated design enables top-level optimization and full access to the light collectors for the duration of the experiment, while reducing the complexity of the nulling breadboard.</t>
  </si>
  <si>
    <t>Observ Paris, LESIA, F-92190 Meudon, France; [Absil, O.] Univ Liege, Inst Astrophys &amp; Geophys, Sart Tilman Par Liege, Belgium; [Swain, M.] Max Planck Inst Astron, Heidelberg, Germany; [Vakili, F.] Univ Nice, LUAN, Nice, France; [Barillot, M.] Alcatel Alenia Space, Cannes, France</t>
  </si>
  <si>
    <t>Universite PSL; Observatoire de Paris; University of Liege; Max Planck Society; Universite Cote d'Azur; Alcatel-Lucent; Thales Group</t>
  </si>
  <si>
    <t>du Foresto, VC (corresponding author), Observ Paris, LESIA, F-92190 Meudon, France.</t>
  </si>
  <si>
    <t>10.1117/12.672370</t>
  </si>
  <si>
    <t>WOS:000240312800034</t>
  </si>
  <si>
    <t>Lanford, E; Guillon, M; Knepper, K; Olson, V; Roche, D; Swain, M; Little, P</t>
  </si>
  <si>
    <t>Lanford, Ephraim; Guillon, Michel; Knepper, Kristina; Olson, Valerie; Roche, Daniel; Swain, Mark; Little, Patrick</t>
  </si>
  <si>
    <t>Study on transport of assembled interferometer to Antarctica</t>
  </si>
  <si>
    <t>interferometer; Antarctica; Dome C; transportation; finite element; logistics; accelerometer; delay line; shock data; traverse data</t>
  </si>
  <si>
    <t>In realizing the scientific potential of locating an astronomical interferometer at one of the Antarctic domes, it will be necessary to retire risks and reduce costs. One way of doing this is to build the interferometer away from Antarctica, test the instrument, and then transport the system as modules to the final location. This novel approach can only be undertaken after it has been shown that such a system will survive the trip without damage, and that calibration of the system will be possible at a very low cost. The authors undertook such a study, measuring the shocks likely to be encountered during shipment, and then establishing that in all but one case, the shocks can be reduced by commercially available vibration isolators to &lt; 5g. The one shock not reducible to &lt; 5g occur-red when the instrument was transferred from an icebreaker to the ice, and will require more careful handling by the shippers. The team also developed and modeled configurations for the delay lines and optics tables to reduce shipment risk while providing a backbone for the delay lines. The study supports the feasibility of a preassembled Antarctic interferometer.</t>
  </si>
  <si>
    <t>[Lanford, Ephraim; Guillon, Michel; Knepper, Kristina; Olson, Valerie; Roche, Daniel; Little, Patrick] Harvey Mudd Coll, Claremont, CA 91711 USA; [Swain, Mark] Max Planck Inst Astron, Heidelberg, Germany</t>
  </si>
  <si>
    <t>Claremont Colleges; Harvey Mudd College; Max Planck Society</t>
  </si>
  <si>
    <t>Little, P (corresponding author), Harvey Mudd Coll, Claremont, CA 91711 USA.</t>
  </si>
  <si>
    <t>little@hmc.edu</t>
  </si>
  <si>
    <t>62684D</t>
  </si>
  <si>
    <t>10.1117/12.672653</t>
  </si>
  <si>
    <t>WOS:000240312800141</t>
  </si>
  <si>
    <t>Lanford, E; Swain, M; Meyers, C; Muramatsu, T; Nielson, G; Olson, V; Ronsse, S; Nyden, EV; Hammerschlag, R; Little, P</t>
  </si>
  <si>
    <t>Lanford, Ephraim; Swain, Mark; Meyers, Catherine; Muramatsu, Tamao; Nielson, Greg; Olson, Valerie; Ronsse, Sebastien; Nyden, Emily Vinding; Hammerschlag, Robert; Little, Patrick</t>
  </si>
  <si>
    <t>Concept study and validation of Antarctic telescope tower</t>
  </si>
  <si>
    <t>tower; telescope; Antarctica; Dome C; pointing; controls; finite element; FEA; FEM; adaptive optics</t>
  </si>
  <si>
    <t>Studies by Mark Swain and a colleague at the Max Planck Institut fur Astronomie, coupled with results from past and ongoing projects at Harvey Mudd College, strongly suggest that it may be possible to achieve imaging performance comparable to the Hubble Space Telescope at relatively low cost using available, commercial products. This is achievable by placing a 2.4 m telescope, with readily available adaptive optics, on a 30 m tower located at a high-elevation geological dome in Antarctica. An initial project surveyed relevant tower design approaches, then generated and evaluated six concept designs for telescope towers. Using data for typical and extreme wind at Dome C to generate wind loads, finite element analysis yielded lateral deflections at the top of 0.3 mm for typical winds and 12.1 mm for extreme gusts, with the lowest resonant frequency at 0.7 Hz; some tower concepts are innovative and allow for easy shipment, setup, and relocation. A subsequent project analyzed a tower designed by Hammerschlag and found fundamental resonance frequencies at 4.3 Hz for bending and 5.9 Hz for torsion; this project also designed and simulated an active telescope control system that maintained 17 milliarcsecond pointing error for the telescope atop the tower during typical wind conditions.</t>
  </si>
  <si>
    <t>Harvey Mudd Coll, Claremont, CA 91711 USA</t>
  </si>
  <si>
    <t>Claremont Colleges; Harvey Mudd College</t>
  </si>
  <si>
    <t>Lanford, E (corresponding author), Harvey Mudd Coll, Claremont, CA 91711 USA.</t>
  </si>
  <si>
    <t>10.1117/12.672346</t>
  </si>
  <si>
    <t>WOS:000240312800038</t>
  </si>
  <si>
    <t>Anelli, LE; Rocha-Campos, AC; Dos Santos, PR; Perinotto, JAD; Quaglio, F</t>
  </si>
  <si>
    <t>Early Miocene bivalves from the Cape Melville Formation, King George Island, West Antarctica</t>
  </si>
  <si>
    <t>ALCHERINGA</t>
  </si>
  <si>
    <t>Early Miocene; bivalves; Cape Melville Formation; West Antarctica</t>
  </si>
  <si>
    <t>LA-MESETA FORMATION; PROTOBRANCHIA MOLLUSCA; FUNCTIONAL-MORPHOLOGY; SEYMOUR ISLAND; EVOLUTION; DECAPODA; EOCENE</t>
  </si>
  <si>
    <t>Seven species of marine bivalves, including six new taxa, are described from the Cape early Miocene Melville Formation which crops out on the Melville Peninsula, King George Island, West Antarctica. The bivalve assemblage includes representatives of the families Nuculidae, Ennucula frigida sp. nov., E. musculosa sp. nov.; Malletidae, Neilo (Neilo) rongelii sp. nov.; Sareptidae, Yoldia peninsularis sp. nov.; Limopsidae, Limopsis psimolis sp. nov.; Hiatellidae, Panopea (Panopea) sp. cf. P. regularis; and Pholadomyoida (Periploma acuta sp. nov.). Species studied come from four sedimentary sections measured in the upper part of the unit. Detailed morphologic features of nuculoid and areoid species are exceptionally well preserved and allow for the first time reconstruction of muscle insertions as well as dentition patterns of Cenozoic taxa. Known geological distribution of the species is in agreement with the early Miocene age assigned to the Cape Melville Formation. The bivalve fauna from Cape Melville Formation is the best known from Antarctic Miocene rocks, a time of complex geologic, paleogeographic and paleoclimatic changes in the continent. The new fauna introduces new taxonomic and palaeogeographic data that bear oil the question of opening of sea gateways and distribution of Cenozoic biota around Antarctica.</t>
  </si>
  <si>
    <t>Univ Sao Paulo, Inst Geociencias, BR-05508080 Sao Paulo, Brazil; UNESP, Inst Geociencias &amp; Ciencias Exatas, BR-13506900 Rio Claro, SP, Brazil; Univ Guarulhos, BR-13506900 Rio Claro, SP, Brazil</t>
  </si>
  <si>
    <t>Universidade de Sao Paulo; Universidade Estadual Paulista; Universidade Guarulhos</t>
  </si>
  <si>
    <t>Anelli, LE (corresponding author), Univ Sao Paulo, Inst Geociencias, Rua Lago 562, BR-05508080 Sao Paulo, Brazil.</t>
  </si>
  <si>
    <t>anelli@usp.br; acrcampo@usp.br; perinoto@rc.unesp.br; quaglio@usp.br</t>
  </si>
  <si>
    <t>Quaglio, Fernanda/F-2765-2013; Anelli, Luiz Eduardo/AAC-4753-2021</t>
  </si>
  <si>
    <t>, Paulo Roberto dos Santos/0000-0002-8979-3451</t>
  </si>
  <si>
    <t>0311-5518</t>
  </si>
  <si>
    <t>1752-0754</t>
  </si>
  <si>
    <t>Alcheringa</t>
  </si>
  <si>
    <t>10.1080/03115510608619348</t>
  </si>
  <si>
    <t>039JF</t>
  </si>
  <si>
    <t>WOS:000237301100009</t>
  </si>
  <si>
    <t>Quilty, PG; Packham, GH</t>
  </si>
  <si>
    <t>Quilty, Patrick G.; Packham, Gordon H.</t>
  </si>
  <si>
    <t>Late Paleocene foraminiferal faunas with Chapmanina and Reticulophragmium from offshore southeastern Australia:: a Tethyan influence</t>
  </si>
  <si>
    <t>Paleocene; palaeoceanography; Chapmanina; Reticulophragmium; southeastern Australia; Tethyan influence; Tasman Sea</t>
  </si>
  <si>
    <t>SUPRAGENERIC CLASSIFICATION; SEA; TERTIARY; OCEAN</t>
  </si>
  <si>
    <t>Samples from off southern New South Wales in approximately 1750 in water depth have yielded late Paleocene faunas of benthic and planktonic foraminifera and other invertebrates. Two faunal associations with a strong Tethyan influence, dominated respectively by Chapmanina conjuncta sp. nov. and Reticulophragmium naroomaensis sp. nov., are described; this is the first formal record of these genera from Australasia. The age of the host sediment is based on both benthic species and few planktonic foraminifera. The environment at the time was warm temperate to subtropical at the southwestern extremity of a counter-clockwise Pacific Ocean gyre. The new occurrence extends the record of Palaeogene marine sediments and palacoenviroinments along the eastern margin of Australia and confirms earlier observations that conditions in the marine environment at that time were considerably warmer along the east coast of Australia than those along the southern margin; the biogeographic association was Tethyan. The circulation model may go some way to explaining coeval warmth along the east Antarctic coast.</t>
  </si>
  <si>
    <t>Univ Tasmania, Sch Earth Sci, Hobart, Tas 7001, Australia; Univ Sydney, Sch Geosci, Sydney, NSW 2006, Australia</t>
  </si>
  <si>
    <t>University of Tasmania; University of Sydney</t>
  </si>
  <si>
    <t>Quilty, PG (corresponding author), Univ Tasmania, Sch Earth Sci, Hobart, Tas 7001, Australia.</t>
  </si>
  <si>
    <t>10.1080/03115510608619320</t>
  </si>
  <si>
    <t>101KU</t>
  </si>
  <si>
    <t>WOS:000241740500009</t>
  </si>
  <si>
    <t>Villar, SEJ; Edwards, HGM</t>
  </si>
  <si>
    <t>Raman spectroscopy in astrobiology</t>
  </si>
  <si>
    <t>Raman spectroscopy; astrobiology; extremophile; biomarkers; geomarkers</t>
  </si>
  <si>
    <t>IN-SITU; ANTARCTIC HABITATS; TERRESTRIAL ANALOG; MARTIAN METEORITE; FORENSIC ANALYSIS; WHITE ROCK; MARS; LIFE; SEARCH; MINERALS</t>
  </si>
  <si>
    <t>Raman spectroscopy is proposed as a valuable analytical technique for planetary exploration because it is sensitive to organic and inorganic compounds and able to unambiguously identify key spectral markers in a mixture of biological and geological components; furthermore, sample manipulation is not required and any size of sample can be studied without chemical or mechanical pretreatment. NASA and ESA are considering the adoption of miniaturised Raman spectrometers for inclusion in suites of analytical instrumentation to be placed on robotic landers on Mars in the near future to search for extinct or extant life signals. In this paper we review the advantages and limitations of Raman spectroscopy for the analysis of complex specimens with relevance to the detection of bio- and geomarkers in extremophilic organisms which are considered to be terrestrial analogues of possible extraterrestial life that could have developed on planetary surfaces.</t>
  </si>
  <si>
    <t>Fac Humanidades &amp; Educ, Area Geodinam Interna, Burgos 09001, Spain; Univ Bradford, Bradford BD7 1DP, W Yorkshire, England</t>
  </si>
  <si>
    <t>University of Bradford</t>
  </si>
  <si>
    <t>Fac Humanidades &amp; Educ, Area Geodinam Interna, C Villadiego S-N, Burgos 09001, Spain.</t>
  </si>
  <si>
    <t>seju@ubu.es; h.g.m.edwards@bradford.ac.uk</t>
  </si>
  <si>
    <t>Jorge-Villar, Susana E./A-8927-2011</t>
  </si>
  <si>
    <t>Jorge-Villar, Susana E./0000-0003-1676-4438</t>
  </si>
  <si>
    <t>JAN</t>
  </si>
  <si>
    <t>10.1007/s00216-005-0029-2</t>
  </si>
  <si>
    <t>007NM</t>
  </si>
  <si>
    <t>WOS:000234976400020</t>
  </si>
  <si>
    <t>Siwek, M; Noubar, AB; Bergmann, J; Niemeyer, B; Galunsky, B</t>
  </si>
  <si>
    <t>Enhancement of enzymatic digestion of Antarctic krill and successive extraction of selenium organic compounds by ultrasound treatment</t>
  </si>
  <si>
    <t>enzymatic digestion; high-performance liquid chromatography-inductively coupled plasma mass spectrometry; krill; selenium organic compounds; ultrasonication</t>
  </si>
  <si>
    <t>PROBE SONICATION; SE-SPECIATION; HYDROLYSIS; PRODUCT</t>
  </si>
  <si>
    <t>In a previous work we described the isolation of selenium organic species from Antarctic krill after enzymatic hydrolysis. In this paper we present the results of the influence of ultrasonication on the enzymatic treatment and the successive isolation of selenomethionine. We showed that ultrasound-assisted enzymatic digestion leads to quantitative release of selenium in the soluble fraction and recovery of selenomethionine from the krill protein within a time 2 orders of magnitude shorter. The solubilised sample was analysed by size-exclusion chromatography and the selenomethionine content was quantified by high-performance liquid chromatography-inductively coupled plasma mass spectrometry. In total, 99% of the selenomethionine in the krill hydrolysate was recovered from the chromatographic fractions. It corresponds to 35% of the total selenium content in Antarctic krill. Monitoring by microscopy of the changes in the structure of the krill samples during ultrasonication suggested that the enhancement of the ultrasound-assisted enzymatic reaction was mainly due to decrease of mass transfer limitations. A reference experiment for ultrasound-assisted enzymatic digestion of cell-free protein in a homogeneous system does not exclude direct influence of the ultrasound energy on the enzyme-substrate interaction.</t>
  </si>
  <si>
    <t>Tech Univ Hamburg, Inst Biotechnol 2, D-21071 Hamburg, Germany; GKSS Forschungszentrum Geesthacht GmbH, Inst Coastal Res, D-21502 Geesthacht, Germany; Helmut Schmidt Univ, Univ Fed Armed Forces Hamburg, Inst Thermodynam, D-22043 Hamburg, Germany; Pontificia Univ Catolica Valparaiso, Inst Chem, Valparaiso 2950, Chile</t>
  </si>
  <si>
    <t>Hamburg University of Technology; Helmholtz Association; Helmholtz-Zentrum Hereon; Helmut Schmidt University; Pontificia Universidad Catolica de Valparaiso</t>
  </si>
  <si>
    <t>Siwek, M (corresponding author), Tech Univ Hamburg, Inst Biotechnol 2, Denickenstr 15, D-21071 Hamburg, Germany.</t>
  </si>
  <si>
    <t>m.siwek@tuhh.de</t>
  </si>
  <si>
    <t>Bergmann, Jan/I-4719-2018</t>
  </si>
  <si>
    <t>Bergmann, Jan/0000-0003-3566-1979</t>
  </si>
  <si>
    <t>10.1007/s00216-005-0163-x</t>
  </si>
  <si>
    <t>WOS:000234976400037</t>
  </si>
  <si>
    <t>Losch, M; Schukay, R; Strass, V; Cisewski, B</t>
  </si>
  <si>
    <t>Comparison of a NLOM data assimilation product to direct measurements in the Antarctic Polar Frontal Zone: a case study</t>
  </si>
  <si>
    <t>ANNALES GEOPHYSICAE</t>
  </si>
  <si>
    <t>oceanography : general; descriptive and regional oceanography; numerical modeling; ocean prediction</t>
  </si>
  <si>
    <t>SYSTEM</t>
  </si>
  <si>
    <t>A comparison of the Naval Research Lab Layered Ocean Model (NLOM) nowcast fields with independent in-situ observations from a cruise in the Polar Frontal Zone of the Atlantic Sector of the Southern Ocean is presented. NLOM sea surface temperature fields can be used to determine the position of fronts and individual eddies, whereas the analyzed sea surface height appears to be out of phase. It is suggested that this dynamical inconsistency is caused by a low data coverage for assimilation at the time of the cruise in combination with the data assimilation technique, that treats sea surface height and sea surface temperature data independently.</t>
  </si>
  <si>
    <t>Alfred Wegener Inst Polar Meeresforsch, Bremerhaven, Germany; Univ Bremen, D-2800 Bremen 33, Germany</t>
  </si>
  <si>
    <t>Helmholtz Association; Alfred Wegener Institute, Helmholtz Centre for Polar &amp; Marine Research; University of Bremen</t>
  </si>
  <si>
    <t>Alfred Wegener Inst Polar Meeresforsch, Bremerhaven, Germany.</t>
  </si>
  <si>
    <t>mlosch@awi-bremerhaven.de</t>
  </si>
  <si>
    <t>Cisewski, Boris/GWV-4320-2022; Losch, Martin/S-5896-2016</t>
  </si>
  <si>
    <t>Cisewski, Boris/0000-0002-1130-6107; Strass, Volker/0000-0002-7539-1400; Losch, Martin/0000-0002-3824-5244</t>
  </si>
  <si>
    <t>0992-7689</t>
  </si>
  <si>
    <t>1432-0576</t>
  </si>
  <si>
    <t>ANN GEOPHYS-GERMANY</t>
  </si>
  <si>
    <t>Ann. Geophys.</t>
  </si>
  <si>
    <t>10.5194/angeo-24-3-2006</t>
  </si>
  <si>
    <t>Astronomy &amp; Astrophysics; Geosciences, Multidisciplinary; Meteorology &amp; Atmospheric Sciences</t>
  </si>
  <si>
    <t>Astronomy &amp; Astrophysics; Geology; Meteorology &amp; Atmospheric Sciences</t>
  </si>
  <si>
    <t>030CM</t>
  </si>
  <si>
    <t>WOS:000236610900001</t>
  </si>
  <si>
    <t>Espy, PJ; Hibbins, RE; Swenson, GR; Tang, J; Taylor, MJ; Riggin, DM; Fritts, DC</t>
  </si>
  <si>
    <t>Regional variations of mesospheric gravity-wave momentum flux over Antarctica</t>
  </si>
  <si>
    <t>meteorology and atmospheric dynamics; general circulation; middle atmosphere dynamics; waves and tides</t>
  </si>
  <si>
    <t>SUMMER MESOPAUSE CIRCULATION; STARFIRE OPTICAL-RANGE; MIDDLE ATMOSPHERE; MERIDIONAL CIRCULATION; CANADA 43-DEGREES-N; SEASONAL-VARIATIONS; LOWER THERMOSPHERE; THERMAL STRUCTURE; METEOR RADARS; OH AIRGLOW</t>
  </si>
  <si>
    <t>Images of mesospheric airglow and radar-wind measurements have been combined to estimate the difference in the vertical flux of horizontal momentum carried by high-frequency gravity waves over two dissimilar Antarctic stations. Rothera (67 degrees S, 68 degrees W) is situated in the mountains of the Peninsula near the edge of the wintertime polar vortex. In contrast, Halley (76 degrees S, 27 degrees W), some 1658 km to the southeast, is located on an ice sheet at the edge of the Antarctic Plateau and deep within the polar vortex during winter. The cross-correlation coefficients between the vertical and horizontal wind perturbations were calculated from sodium (Na) airglow imager data collected during the austral winter seasons of 2002 and 2003 at Rothera for comparison with the 2000 and 2001 results from Halley reported previously (Espy et al., 2004). These cross-correlation coefficients were combined with wind-velocity variances from coincident radar measurements to estimate the daily averaged upper-limit of the vertical flux of horizontal momentum due to gravity waves near the peak emission altitude of the Na night-low layer, 90 km. The resulting momentum flux at both stations displayed a large day-to-day variability and showed a marked seasonal rotation from the northwest to the southwest throughout the winter. However, the magnitude of the flux at Rothera was about 4 times larger than that at Halley, suggesting that the differences in the gravity-wave source functions and filtering by the underlying winds at the two stations create significant regional differences in wave forcing on the scale of the station separation.</t>
  </si>
  <si>
    <t>British Antarctic Survey, NERC, Cambridge CB3 0ET, England; Univ Illinois, Dept Elect &amp; Comp Engn, Urbana, IL 61801 USA; Utah State Univ, Dept Phys, Logan, UT 84322 USA; Colorado Res Associates, Boulder, CO USA</t>
  </si>
  <si>
    <t>UK Research &amp; Innovation (UKRI); Natural Environment Research Council (NERC); NERC British Antarctic Survey; University of Illinois System; University of Illinois Urbana-Champaign; Utah System of Higher Education; Utah State University</t>
  </si>
  <si>
    <t>Espy, PJ (corresponding author), British Antarctic Survey, NERC, Cambridge CB3 0ET, England.</t>
  </si>
  <si>
    <t>pje@bas.ac.uk</t>
  </si>
  <si>
    <t>Bell, Matthew/IQR-9709-2023</t>
  </si>
  <si>
    <t>10.5194/angeo-24-81-2006</t>
  </si>
  <si>
    <t>Green Submitted, gold, Green Accepted</t>
  </si>
  <si>
    <t>WOS:000236610900006</t>
  </si>
  <si>
    <t>Blagoveshchensky, DV; Borisova, TD; MacDougall, JW</t>
  </si>
  <si>
    <t>Blagoveshchensky, D. V.; Borisova, T. D.; MacDougall, J. W.</t>
  </si>
  <si>
    <t>Irregular HF radio propagation on a subauroral path during magnetospheric substorms</t>
  </si>
  <si>
    <t>magnetospheric physics; storms and substorms; ionosphere; ionospheric disturbances; radio science; radio wave propagation</t>
  </si>
  <si>
    <t>MULTIPATH SPREAD; IONOSPHERE; DOPPLER; TROUGH; STORM; MODEL</t>
  </si>
  <si>
    <t>The impact of the main ionospheric trough, sporadic structures, gradients and inhomogeneities of the subpolar ionosphere during substorms on the signal amplitude, azimuthal angles of arrival, and propagation modes or the radio path Ottawa (Canada)-St. Petersburg (Russia) was considered. This subauroral path with the length of about 6600 km has approximately an east-west orientation. The main goals are to carry out numerical modeling of radio propagation for the path and to compare the model calculations with experimental results. Wave absorption and effects of focusing and divergence of rays were taken into consideration in the radio wave modeling process. The following basic results were obtained: The signal amplitude increases by 20-30 dB 1-1.5 h before the substorm expansion phase onset. At the same time the signal azimuth deviates towards north of the great circle arc for the propagation path. Compared with quiet periods there are effects due to irregularities and gradients in the area of the polar edge of the main ionospheric trough on the passing signals. Propagation mechanisms also change during substorms. The growth of signal amplitude before the substorm can be physically explained by both a decrease of the F2-layer ionization and a growth of the F2-layer height that leads to a decrease of the signal field divergence and to a drop of the collision frequency. Ionospheric gradients are also important. This increase of signal level prior to a substorm could be used for forecasting of space weather disturbed conditions.</t>
  </si>
  <si>
    <t>St Petersburg State Univ Aerosp Instrumentat, St Petersburg, Russia; Arctic &amp; Antarctic Res Inst, St Petersburg 199226, Russia; Univ Western Ontario, London, ON, Canada</t>
  </si>
  <si>
    <t>Saint Petersburg State University of Aerospace Instrumentation; Arctic &amp; Antarctic Research Institute; Western University (University of Western Ontario)</t>
  </si>
  <si>
    <t>Blagoveshchensky, DV (corresponding author), St Petersburg State Univ Aerosp Instrumentat, St Petersburg, Russia.</t>
  </si>
  <si>
    <t>dvb@aanet.ru</t>
  </si>
  <si>
    <t>Borisova, Tatiana/AAK-7698-2020</t>
  </si>
  <si>
    <t>Borisova, Tatiana/0000-0003-1727-5310</t>
  </si>
  <si>
    <t>10.5194/angeo-24-1839-2006</t>
  </si>
  <si>
    <t>082DP</t>
  </si>
  <si>
    <t>WOS:000240367200007</t>
  </si>
  <si>
    <t>Rodger, CJ; Clilverd, MA; Ulich, T; Verronen, PT; Turunen, E; Thomson, NR</t>
  </si>
  <si>
    <t>Rodger, C. J.; Clilverd, M. A.; Ulich, Th.; Verronen, P. T.; Turunen, E.; Thomson, N. R.</t>
  </si>
  <si>
    <t>The atmospheric implications of radiation belt remediation</t>
  </si>
  <si>
    <t>magnetospheric physics; energetic particles, precipitating; magnetosphere-ionosphere interactions; ionosphere; active experiments</t>
  </si>
  <si>
    <t>SOLAR PROTON EVENTS; ODD NITROGEN; SATELLITE-OBSERVATIONS; MIDDLE ATMOSPHERE; ELECTRONS; MODEL; PRECIPITATION; THERMOSPHERE</t>
  </si>
  <si>
    <t>High altitude nuclear explosions (HANEs) and geomagnetic storms can produce large scale injections of relativistic particles into the inner radiation belts. It is recognised that these large increases in &gt; 1 MeV trapped electron fluxes can shorten the operational lifetime of low Earth orbiting satellites, threatening a large, valuable population. Therefore, studies are being undertaken to bring about practical human control of the radiation belts, termed Radiation Belt Remediation (RBR). Here we consider the upper atmospheric consequences of an RBR system operating over either 1 or 10 days. The RBR-forced neutral chemistry changes, leading to NOx enhancements and 0, depletions, are significant during the timescale of the precipitation but are generally not long-lasting. The magnitudes, time-scales, and altitudes of these changes are no more significant than those observed during large solar proton events. In contrast, RBR-operation will lead to unusually intense HF blackouts for about the first half of the operation time, producing large scale disruptions to radio communication and navigation systems. While the neutral atmosphere changes are not particularly important, HF disruptions could be an important area for policy makers to consider, particularly for the remediation of natural injections.</t>
  </si>
  <si>
    <t>Univ Otago, Dept Phys, Dunedin, New Zealand; British Antarctic Survey, Div Phys Sci, Cambridge CB3 0ET, England; Sodankyla Geophys Observ, Sodankyla, Finland; Finnish Meteorol Inst, FIN-00101 Helsinki, Finland</t>
  </si>
  <si>
    <t>Rodger, CJ (corresponding author), Univ Otago, Dept Phys, Dunedin, New Zealand.</t>
  </si>
  <si>
    <t>crodger@physics.otago.ac.nz</t>
  </si>
  <si>
    <t>Verronen, Pekka T/G-6658-2014; Rodger, Craig/A-1501-2011; Ulich, Thomas/G-3727-2018; Verronen, P. T./AIE-0203-2022</t>
  </si>
  <si>
    <t>10.5194/angeo-24-2025-2006</t>
  </si>
  <si>
    <t>gold, Green Submitted, Green Accepted</t>
  </si>
  <si>
    <t>WOS:000240367200022</t>
  </si>
  <si>
    <t>Blagoveshchenskaya, NR; Borisova, TD; Kornienko, VA; Moskvin, IV; Rietveld, MT; Frolov, VL; Uryadov, VP; Kagan, LM; Yampolski, YM; Galushko, VL; Koloskov, AV; Kasheev, SB; Zalizovski, AV; Vertogradov, GG; Vertogradov, VG; Kelley, MC</t>
  </si>
  <si>
    <t>Blagoveshchenskaya, N. R.; Borisova, T. D.; Kornienko, V. A.; Moskvin, I. V.; Rietveld, M. T.; Frolov, V. L.; Uryadov, V. P.; Kagan, L. M.; Yampolski, Yu. M.; Galushko, V. L.; Koloskov, A. V.; Kasheev, S. B.; Zalizovski, A. V.; Vertogradov, G. G.; Vertogradov, V. G.; Kelley, M. C.</t>
  </si>
  <si>
    <t>Probing of medium-scale traveling ionospheric disturbances using HF-induced scatter targets</t>
  </si>
  <si>
    <t>12th Biannual EISCAT International Workshop</t>
  </si>
  <si>
    <t>AUG 29-SEP 02, 2005</t>
  </si>
  <si>
    <t>Swedish Inst Space Phys, Kiruna, SWEDEN</t>
  </si>
  <si>
    <t>Swedish Inst Space Phys</t>
  </si>
  <si>
    <t>ionosphere; ionosphere : active experiments; ionospheric disturbances; radio science; nonlinear phenomena</t>
  </si>
  <si>
    <t>ATMOSPHERIC GRAVITY-WAVES; HIGH-LATITUDE IONOSPHERE; RADIO-WAVES; F-REGION; RADAR; TROMSO; THERMOSPHERE; EISCAT; TIDS</t>
  </si>
  <si>
    <t>Experimental results from the Tromso and Sura heating experiments at high and mid-latitudes are examined. It is shown that the combination of HF-induced target and bi-static HF Doppler radio scatter observations is a profitable method for probing medium-scale traveling ionospheric disturbances (TIDs) at high and mid-latitudes. HF ionospheric modification experiments provide a way of producing the, HF-induced scatter target in a controlled manner at altitudes where the sensitivity to TIDs is highest. Bi-static HF Doppler radio scatter observations were carried out on the London-Tromso-St. Petersburg path in the course of a Tromso heating experiment on 16 November 2004 when the pump wave was reflected from an auroral Es-layer. During Sura heating experiments on 19 and 20 August 2004, when the HF pump wave was reflected from the F2 ionospheric layer, multi-position bi-static HF Doppler radio scatter observations were simultaneously performed at three reception points including St. Petersburg, Kharkov, and Rostov-on-Don. Ray tracing and Doppler shift simulations were made for all experiments. A computational technique has been developed allowing the reconstruction of the TID phase velocities from multi-position bi-static HF Doppler scatters. Parameters of medium-scale TIDs were found. In all experiments they were observed in the evening and pre-midnight hours. TIDs in the auroral E-region with periods of about 23 min were traveling southward at speeds of 210 m/s. TIDs in the mid-latitudinal F-region with periods from 20 to 45 min travelled at speeds between 40 and 150 m/s. During quiet magnetic conditions the waves were traveling in the north-cast direction. In disturbed conditions the waves were moving in the south-west direction with higher speeds as compared with quiet conditions. Possible sources for the atmospheric gravity waves at middle and high latitudes are discussed.</t>
  </si>
  <si>
    <t>Arctic &amp; Antarctic Res Inst, St Petersburg 199226, Russia; EISCAT Sci Assoc, Ramfjordbotn, Norway; Radiophys Res Inst, Nizhnii Novgorod, Russia; Univ Western Ontario, London, ON N6A 3K7, Canada; NAS, Inst Radioastron, Kharkov, Ukraine; Rostov Don State Univ, Rostov Na Donu, Russia; Cornell Univ, Ithaca, NY USA</t>
  </si>
  <si>
    <t>Arctic &amp; Antarctic Research Institute; Lobachevsky State University of Nizhni Novgorod; Western University (University of Western Ontario); National Academy of Sciences Ukraine; Institute of Radio Astronomy of the National Academy of Sciences of Ukraine; Southern Federal University; Cornell University</t>
  </si>
  <si>
    <t>Blagoveshchenskaya, NR (corresponding author), Arctic &amp; Antarctic Res Inst, St Petersburg 199226, Russia.</t>
  </si>
  <si>
    <t>nataly@aari.nw.ru</t>
  </si>
  <si>
    <t>Koloskov, Oleksandr/ABB-4631-2020; Borisova, Tatiana/AAK-7698-2020; Zalizovski, Andriy/ABB-4475-2020; Zalizovski, Andriy/HII-4602-2022; yampolskiy, yuriy m/ABA-8387-2020; Frolov, Vladimir/AAU-9780-2020; Yampolski, Yuri/AAU-3037-2021; Blagoveshchenskaya, Nataly F./S-4342-2017</t>
  </si>
  <si>
    <t>Koloskov, Oleksandr/0000-0001-8921-3851; Zalizovski, Andriy/0000-0002-6271-0126; Zalizovski, Andriy/0000-0002-6271-0126; Blagoveshchenskaya, Nataly F./0000-0003-1752-3273; Borisova, Tatiana/0000-0003-1727-5310; Vertogradov, Gennady/0000-0002-5307-5386; Yampolski, Yuri/0000-0002-6142-5753</t>
  </si>
  <si>
    <t>10.5194/angeo-24-2333-2006</t>
  </si>
  <si>
    <t>095AQ</t>
  </si>
  <si>
    <t>WOS:000241281000002</t>
  </si>
  <si>
    <t>Heinloo, J; Toompuu, A</t>
  </si>
  <si>
    <t>Heinloo, J.; Toompuu, A.</t>
  </si>
  <si>
    <t>Modeling a turbulence effect in formation of the Antarctic Circumpolar Current</t>
  </si>
  <si>
    <t>oeanography; physical; currents, general circulation; turbulence, diffusion and mixing processes</t>
  </si>
  <si>
    <t>OBSCURANTIST PHYSICS; FORM DRAG; OCEAN; SOUTH; TRANSPORT; BALANCE</t>
  </si>
  <si>
    <t>A simple model to determine a turbulence effect in formation of the Antarctic Circumpolar Current (ACC) is suggested. The model is founded on the theory of rotationally anisotropic turbulence and is set up as a generalization of the geostrophic description of the Antarctic Circumpolar Current (ACC). It predicts the turbulence effect as an additive correction to the flow velocity predicted by the geostrophic balance. The correction, calculated from the optimally analyzed hydrographic data in the Southern Ocean, results in an increased ACC total baroclinic volume transport and in a shift in the current velocity maximum to the south, if compared with the pure geostrophic estimate.</t>
  </si>
  <si>
    <t>Tallinn Univ Technol, Marine Syst Inst, EE-12618 Tallinn, Estonia</t>
  </si>
  <si>
    <t>Tallinn University of Technology</t>
  </si>
  <si>
    <t>Heinloo, J (corresponding author), Tallinn Univ Technol, Marine Syst Inst, Akadeemia Tee 21, EE-12618 Tallinn, Estonia.</t>
  </si>
  <si>
    <t>heinloo@phys.sea.ee</t>
  </si>
  <si>
    <t>10.5194/angeo-24-3191-2006</t>
  </si>
  <si>
    <t>135IS</t>
  </si>
  <si>
    <t>WOS:000244147900002</t>
  </si>
  <si>
    <t>Angel, MV; Blachowiak-Samolyk, K</t>
  </si>
  <si>
    <t>Obtusoecia (Halocyprida: Myodocopa: Ostracoda) a bipolar planktonic oceanic genus.: Taxonomy, bathymetry and zoogeographical distribution</t>
  </si>
  <si>
    <t>ANNALES ZOOLOGICI</t>
  </si>
  <si>
    <t>Obtusoecia; halocyprid ostracods; taxonomy; bathymetry; zoogeography; bipolarity</t>
  </si>
  <si>
    <t>ZOOPLANKTON COMMUNITY; ANTARCTIC PENINSULA; SEA; ATLANTIC; VICINITY; PASSAGE</t>
  </si>
  <si>
    <t>Full detailed descriptions of the two species of Obtusoecia, one of two planktonic halocyprid ostracod genera that are bipolar, demonstrate that the taxonomic separation of these two forms formerly considered to be conspecific, is valid. The segregation of the genus from Porroecia is also validated. The value of characters of limbs other than the first and second antennae particularly in defining halocyprid genera is emphasised. Zoogeographical distributions of the two species based on comprehensive compilations of both published and unpublished data show that O. obtusata is confined to the North Atlantic, whereas O. antarctica has an Antarctic circumpolar distribution. Detailed bathymetric profiles show that O. obtusata is a shallow mesopelagic species that is overwhelmingly dominant at depths of 50-200 m in subpolar seas, and shows limited ability to submerge at lower depths, so that it is restricted to seas that have a marked seasonal cycle of turn-over and stratification. It is postulated that the bathymetric distributions of the two species are similar, also that O. antarctica is more likely to be ancestral to O. obtusata than vice versa.</t>
  </si>
  <si>
    <t>Natl Oceanog Ctr, George Deacon Div, Southampton SO14 3ZH, Hants, England; Polish Acad Sci, Inst Oceanol, Arct Ecol Grp, PL-81712 Sopot, Powstancow Wars, Poland</t>
  </si>
  <si>
    <t>NERC National Oceanography Centre; Polish Academy of Sciences; Institute of Oceanology of the Polish Academy of Sciences</t>
  </si>
  <si>
    <t>Angel, MV (corresponding author), Natl Oceanog Ctr, George Deacon Div, Southampton SO14 3ZH, Hants, England.</t>
  </si>
  <si>
    <t>mva@noc.soton.ac.uk; kasiab@iopan.gda.pl</t>
  </si>
  <si>
    <t>Blachowiak-Samolyk, Katarzyna/0000-0001-8076-2168</t>
  </si>
  <si>
    <t>MUSEUM &amp; INST ZOOLOGY PAS-POLISH ACAD SCIENCES</t>
  </si>
  <si>
    <t>WILCZA STREET 64, 00-679 WARSAW, POLAND</t>
  </si>
  <si>
    <t>0003-4541</t>
  </si>
  <si>
    <t>1734-1833</t>
  </si>
  <si>
    <t>ANN ZOOL</t>
  </si>
  <si>
    <t>Ann. Zool.</t>
  </si>
  <si>
    <t>Entomology</t>
  </si>
  <si>
    <t>033UP</t>
  </si>
  <si>
    <t>WOS:000236876000016</t>
  </si>
  <si>
    <t>Mosley-Thompson, E; Thompson, LG; Lin, PN</t>
  </si>
  <si>
    <t>MosleyThompson, E; Thompson, LG</t>
  </si>
  <si>
    <t>Mosley-Thompson, Ellen; Thompson, Lonnie G.; Lin, Ping-Nan</t>
  </si>
  <si>
    <t>A multi-century ice-core perspective on 20th-century climate changewith new contributions from high-Arctic and Greenland (PARCA) cores</t>
  </si>
  <si>
    <t>ANNALS OF GLACIOLOGY, VOL 43, 2006</t>
  </si>
  <si>
    <t>Annals of Glaciology-Series</t>
  </si>
  <si>
    <t>International Symposium on High-Elevation Glaciers and Climate Records</t>
  </si>
  <si>
    <t>SEP 05-09, 2005</t>
  </si>
  <si>
    <t>Lanzhou, PEOPLES R CHINA</t>
  </si>
  <si>
    <t>NORTHERN-HEMISPHERE TEMPERATURES; ANTARCTIC PENINSULA; SURFACE TEMPERATURES; ISOTOPE RECORDS; AIR-TEMPERATURE; TROPICAL ICE; PRECIPITATION; RECONSTRUCTION; ACCUMULATION; DELTA-O-18</t>
  </si>
  <si>
    <t>A global collection of high temporally resolved ice-core-derived delta O-18 records is examined to assess whether the proxy records are consistent with contemporaneous observed temperature variations in their respective regions. This is prerequisite to using the older parts of the proxy (delta O-18) records to assess whether 20th-century temperatures remain within the range of longer-term natural variability. Excluding the high plateaus in East and West Antarctica where 20th-century temperatures show modest cooling, the ice-core records from other regions suggest modest to strong 20th-century warming. The recent warming over Greenland has been modest and spatially variable. The 20th-century warming over both the Barents Sea region and the Tibetan Plateau now falls well outside the range of prior longer-term temperature variability. Similarly, over the South American Andes and the Antarctic Peninsula the recent warming exceeds the long-term mean for the last 1000 and 500 years, respectively. The ice fields in these regions are in danger of being compromised or lost if the present warming trend in these regions persists.</t>
  </si>
  <si>
    <t>Ohio State Univ, Byrd Polar Res Ctr, 1090 Carmack Rd, Columbus, OH 43210 USA</t>
  </si>
  <si>
    <t>University System of Ohio; Ohio State University</t>
  </si>
  <si>
    <t>Mosley-Thompson, E (corresponding author), Ohio State Univ, Byrd Polar Res Ctr, 1090 Carmack Rd, Columbus, OH 43210 USA.</t>
  </si>
  <si>
    <t>thompson.4@osu.edu</t>
  </si>
  <si>
    <t>Mosley-Thompson, Ellen S/Z-2100-2018</t>
  </si>
  <si>
    <t>NSF; NASA; US National Oceanic and Atmospheric Administration; US National Geographic Society; Byrd Polar Research Center [1325]</t>
  </si>
  <si>
    <t>NSF(National Science Foundation (NSF)); NASA(National Aeronautics &amp; Space Administration (NASA)); US National Oceanic and Atmospheric Administration(National Oceanic Atmospheric Admin (NOAA) - USA); US National Geographic Society(National Geographic Society); Byrd Polar Research Center</t>
  </si>
  <si>
    <t>We thank the numerous scientists, engineers and field assistants who participated in the ice-core drilling projects that recovered these cores and conducted the laboratory analyses to extract the proxy records contained therein. Two anonymous reviewers provided valuable suggestions. These projects were funded over the years by the NSF, NASA, the US National Oceanic and Atmospheric Administration and the US National Geographic Society. This is Byrd Polar Research Center contribution No. 1325.</t>
  </si>
  <si>
    <t>INT GLACIOLOGICAL SOC</t>
  </si>
  <si>
    <t>LENSFIELD RD, CAMBRIDGE CB2 1ER, ENGLAND</t>
  </si>
  <si>
    <t>0260-3055</t>
  </si>
  <si>
    <t>978-0-946417-38-4</t>
  </si>
  <si>
    <t>ANN GLACIOL-SER</t>
  </si>
  <si>
    <t>10.3189/172756406781812401</t>
  </si>
  <si>
    <t>BFZ03</t>
  </si>
  <si>
    <t>WOS:000245520800007</t>
  </si>
  <si>
    <t>Li, YF; Yao, TD; Wang, NL; Li, Z; Tian, L; Xu, BQ; Wu, GJ</t>
  </si>
  <si>
    <t>Li, Yuefang; Yao, Tandong; Wang, Ninglian; Li, Zhen; Tian, Lide; Xu, Baiqing; Wu, Guangjian</t>
  </si>
  <si>
    <t>Recent changes of atmospheric heavy metals in a high-elevation ice core from Muztagh Ata, east Pamirs: initial results</t>
  </si>
  <si>
    <t>ANTARCTIC SNOW; TRACE-METALS; CENTRAL GREENLAND; ALPINE SNOW; RECORD; LEAD; EMISSIONS; POLLUTION; CADMIUM; COPPER</t>
  </si>
  <si>
    <t>Al, Mn, Rb, Sr, Ba, Cs, Bi and Sb were measured at various depth intervals of a 41.6 m firn/ ice core drilled at an elevation of 7010 m near the top of Muztagh Ata glacier, east Pamirs (38 degrees 17'N, 75 degrees 06'E), central Asia. These data, spanning the mid-1950s to 2000, were obtained by analyzing 101 sections using a sector-field double-focusing inductively coupled plasma mass spectrometer (ICP-MS) instrument. This study provides the first time series for these metals from central Asia. Concentrations are 11.7-329 ng mL(-1) for Al, 0.33-42.7 ng mL(-1) for Min, 0.42-17.8 ng mL(-1) for Sr, 0.04-1.4 ng mL(-1) for Rb, 0.18-10.4 ng mL(-1) for Ba, 2-167 pg mL(-1) for Cs, 2-51 pg mL(-1) for Sb and 1-31 pg mL(-1) for Bi. Large variations in metal concentrations were found during the study period. Pronounced increases in concentrations were observed for Sb and Bi from the mid-1960s to the beginning of the 1990s, suggesting increased anthropogenic sources of Sb and Bi in central Asia during the same period. However, the decrease of Sb and Bi concentrations during the mid- to late 1990s reflects a reduction in anthropogenic activities in central Asia.</t>
  </si>
  <si>
    <t>[Li, Yuefang; Yao, Tandong; Wang, Ninglian; Li, Zhen; Tian, Lide; Xu, Baiqing; Wu, Guangjian] Chinese Acad Sci, Cold &amp; Arid Reg Environm &amp; Engn Res Inst, Key Lab Cryosphere &amp; Environm, 260 Donggang West Rd, Lanzhou 730000, Peoples R China; [Yao, Tandong; Tian, Lide; Xu, Baiqing; Wu, Guangjian] Chinese Acad Sci, Inst Tibetan Plateau Res, Beijing 100085, Peoples R China</t>
  </si>
  <si>
    <t>Chinese Academy of Sciences; Cold &amp; Arid Regions Environmental &amp; Engineering Research Institute, CAS; Chinese Academy of Sciences; Institute of Tibetan Plateau Research, CAS</t>
  </si>
  <si>
    <t>Li, YF (corresponding author), Chinese Acad Sci, Cold &amp; Arid Reg Environm &amp; Engn Res Inst, Key Lab Cryosphere &amp; Environm, 260 Donggang West Rd, Lanzhou 730000, Peoples R China.</t>
  </si>
  <si>
    <t>liyf@lzb.ac.cn</t>
  </si>
  <si>
    <t>National Nature Science Foundation of China [40121101]; Century Program of Chinese Academy of Science [2004401]; Knowledge Innovation Project of the Chinese Academy of Sciences [KZCX3-SW-339]; Science and Technology Department Foundation of China [2001CCB00300]</t>
  </si>
  <si>
    <t>National Nature Science Foundation of China(National Natural Science Foundation of China (NSFC)); Century Program of Chinese Academy of Science; Knowledge Innovation Project of the Chinese Academy of Sciences(Knowledge Innovation Program of the Chinese Academy of Sciences); Science and Technology Department Foundation of China</t>
  </si>
  <si>
    <t>This research was supported by the National Nature Science Foundation of China (40121101), Century Program of Chinese Academy of Science (2004401), the Knowledge Innovation Project of the Chinese Academy of Sciences (KZCX3-SW-339), and the Science and Technology Department Foundation of China (2001CCB00300). We thank members of the 2003 Muztagh Ata peak glaciological expedition for their hard work in the field. We also thank three anonymous reviewers for their valuable suggestions for improving the paper, S. Kaspari for help and revisions, and T. Mashiotta and E. Mosley-Thompson for kind advice.</t>
  </si>
  <si>
    <t>10.3189/172756406781812186</t>
  </si>
  <si>
    <t>WOS:000245520800022</t>
  </si>
  <si>
    <t>Wen, JH; Jezek, KC; Monaghan, AJ; Sun, B; Ren, JW; Huybrechts, P</t>
  </si>
  <si>
    <t>Wen, Jiahong; Jezek, Kenneth C.; Monaghan, Andrew J.; Sun, Bo; Ren, Jiawen; Huybrechts, Philippe</t>
  </si>
  <si>
    <t>Accumulation variability and mass budgets of the lambert glacier-amery ice shelf system, east antarctica, at high elevations</t>
  </si>
  <si>
    <t>DRONNING MAUD LAND; SEA-LEVEL RISE; NORTHWEST GREENLAND; SNOW-ACCUMULATION; NET ACCUMULATION; WEST ANTARCTICA; SHEET; BALANCE; BASIN; WIDESPREAD</t>
  </si>
  <si>
    <t>The temporal and spatial variability of the annual accumulation rate and the mass budgets of five sub-basins of the Lambert Glacier-Amery Ice Shelf system (LAS), East Antarctica, at high elevations are assessed using a variety of datasets derived from field measurements and modeling. The annual temporal variations of the accumulation rate for four cores from the west and east sides of the LAS are around +/- 34%. Decadal fluctuation of the accumulation from the DT001 firn core drops to +/- 10%, and the 30 year fluctuation to +/- 5%, which is assumed to contain the information about the regional and long-term trend in accumulation. The 15-point running mean of the annual accumulation rate derived from stake measurements can remove most of the high-frequency spatial variation so as to better represent the local accumulation. Model simulations show that the spatial variability of erosion/ deposition of snow by the wind has a noticeable impact on the surface mass balance at the higher parts of the LAS. Mass-budget estimates at high-elevation sub-basins of the LAS suggest drainage 9 has a negative imbalance of -0.7 +/- 0.4 Gt a(-1), Lambert and Mellor Glaciers have a positive imbalance of 3.9 +/- 2.1 and 2.1 +/- 2.4 Gt a(-1) respectively, and Fisher Glacier and drainage 11 are approximately in balance. The higher-elevation region as a whole has a positive mass imbalance of 4.4 +/- 6.3 Gt a(-1), which is consistent with the most recent radar altimetry assessment that shows an overall thickening over this region.</t>
  </si>
  <si>
    <t>[Wen, Jiahong] Shanghai Normal Univ, Dept Geog, Shanghai 200234, Peoples R China; [Wen, Jiahong; Jezek, Kenneth C.; Monaghan, Andrew J.] Ohio State Univ, Byrd Polar Res Ctr, Columbus, OH 43210 USA; [Wen, Jiahong; Sun, Bo] Polar Res Inst China, Shanghai 200129, Peoples R China; [Ren, Jiawen] Chinese Acad Sci, Cold &amp; Arid Reg Environm &amp; Engn Res Inst, Lab Cryosphere &amp; Environm, Lanzhou 730000, Peoples R China; [Huybrechts, Philippe] Vrije Univ Brussel, Dept Geografie, B-1050 Brussels, Belgium; [Huybrechts, Philippe] Alfred Wegener Inst Polar &amp; Marine Res, D-27515 Bremerhaven, Germany</t>
  </si>
  <si>
    <t>Shanghai Normal University; University System of Ohio; Ohio State University; Polar Research Institute of China; Chinese Academy of Sciences; Cold &amp; Arid Regions Environmental &amp; Engineering Research Institute, CAS; Vrije Universiteit Brussel; Helmholtz Association; Alfred Wegener Institute, Helmholtz Centre for Polar &amp; Marine Research</t>
  </si>
  <si>
    <t>Wen, JH (corresponding author), Shanghai Normal Univ, Dept Geog, Shanghai 200234, Peoples R China.</t>
  </si>
  <si>
    <t>jhwen@sh163a.sta.net.cn</t>
  </si>
  <si>
    <t>sun, bo/JFA-9978-2023; Jiawen, Ren/K-7734-2012; Huybrechts, Philippe/J-5278-2013</t>
  </si>
  <si>
    <t>Monaghan, Andrew/0000-0002-8170-2359; Huybrechts, Philippe/0000-0003-1406-0525</t>
  </si>
  <si>
    <t>National Natural Science Foundation of China [4047128, 40476005]; Shu Gang Project [05SG46]; US National Aeronautics and Space Administration (NASA) Polar Oceans; Ice Sheets Program and NASA Headquarters under the Earth System Science Fellowship [NGT5-30533]</t>
  </si>
  <si>
    <t>National Natural Science Foundation of China(National Natural Science Foundation of China (NSFC)); Shu Gang Project; US National Aeronautics and Space Administration (NASA) Polar Oceans; Ice Sheets Program and NASA Headquarters under the Earth System Science Fellowship</t>
  </si>
  <si>
    <t>This work is supported by the National Natural Science Foundation of China (grants No. 4047128 and 40476005), the Shu Gang Project (grant No. 05SG46), the US National Aeronautics and Space Administration (NASA) Polar Oceans and Ice Sheets Program and NASA Headquarters under the Earth System Science Fellowship Grant (NGT5-30533). We thank M. Giovinetto and D. Vaughan for providing us with accumulation compilations, especially M. Giovinetto who provided a newly modified accumulation compilation. Some of the data used in this paper were obtained from the Australian Antarctic Data Centre (IDN Node MD/AU), a part of the Australian Antarctic Division (Common wealth of Australia). The data are described in the metadata records Radio-echo sounding (RES) ice thickness data: LGB traverses 199095 Allison, I. (1999) and Ice sheet surface velocity data: LGB traverses 198995 Allison, I. (1999). The authors are grateful to the two anonymous referees for their valuable comments which led to great improvements in this paper.</t>
  </si>
  <si>
    <t>10.3189/172756406781812249</t>
  </si>
  <si>
    <t>WOS:000245520800052</t>
  </si>
  <si>
    <t>Key, EL; Minnett, PJ</t>
  </si>
  <si>
    <t>Langhorne, P; Squire, V</t>
  </si>
  <si>
    <t>Key, Erica L.; Minnett, Peter J.</t>
  </si>
  <si>
    <t>Implications of shortwave cloud forcing and feedbacks in the Southern Ocean</t>
  </si>
  <si>
    <t>ANNALS OF GLACIOLOGY, VOL 44, 2006</t>
  </si>
  <si>
    <t>International Symposium on Sea Ice</t>
  </si>
  <si>
    <t>DEC 05-09, 2005</t>
  </si>
  <si>
    <t>Dunedin, NEW ZEALAND</t>
  </si>
  <si>
    <t>EARTH RADIATION BUDGET; SEA-ICE; SURFACE RADIATION; WATER POLYNYA; ALBEDO; CLIMATE; FLUX</t>
  </si>
  <si>
    <t>Measurements of the incident solar radiation taken during the Antarctic Remote Ice Sensing Experiment (ARISE) aboard the R/V Aurora Australis in the Southern Ocean and springtime Antarctic ice pack are analyzed together with all-sky cloud imagery to determine the incident shortwave cloud radiative forcing at the surface. For most solar zenith angles (Z &lt; 82 degrees) in this dataset, the primary shortwave cloud effect is to induce cooling of the surface; as the sun approaches the horizon, however, the shortwave effects become negligible or even positive. The clear-sky atmospheric transmissivity over the length of the cruise is 0.91, a value comparable to those derived from measurements taken at various locations in the Arctic during daylight periods. Although the presence of clouds has a great effect on the surface heat budget and provides a negative shortwave feedback that may stabilize the polar atmosphere, the effect on the photosynthetically active radiation available to ice algae is relatively small in comparison to the effects of even small amounts of snow on sea ice.</t>
  </si>
  <si>
    <t>Univ Miami, Rosenstiel Sch Marine &amp; Atmospher Sci, Miami, FL 33149 USA</t>
  </si>
  <si>
    <t>University of Miami</t>
  </si>
  <si>
    <t>Key, EL (corresponding author), Univ Miami, Rosenstiel Sch Marine &amp; Atmospher Sci, 4600 Rickenbacker Causeway, Miami, FL 33149 USA.</t>
  </si>
  <si>
    <t>ekey@rsmas.miami.edu</t>
  </si>
  <si>
    <t>Key, Erica/0000-0002-5099-5961</t>
  </si>
  <si>
    <t>978-0-946417-39-1</t>
  </si>
  <si>
    <t>10.3189/172756406781811691</t>
  </si>
  <si>
    <t>Geochemistry &amp; Geophysics; Geosciences, Multidisciplinary; Oceanography</t>
  </si>
  <si>
    <t>Geochemistry &amp; Geophysics; Geology; Oceanography</t>
  </si>
  <si>
    <t>BGG56</t>
  </si>
  <si>
    <t>WOS:000246685800003</t>
  </si>
  <si>
    <t>Markus, T; Cavalieri, DJ</t>
  </si>
  <si>
    <t>Markus, Thorsten; Cavalieri, Donald J.</t>
  </si>
  <si>
    <t>Interannual and regional variability of Southern Ocean snow on sea ice</t>
  </si>
  <si>
    <t>PRECIPITATION; CYCLONES</t>
  </si>
  <si>
    <t>Snow depth on sea ice plays a critical role in the heat exchange between ocean and atmosphere because of its thermal insulation property. Furthermore, a heavy snow load on the relatively thin Southern Ocean sea-ice cover submerges the ice floes below sea level, causing snow-to-ice conversion. Snowfall is also an important freshwater source into the weakly stratified ocean. Snow-depth on sea-ice information can be used as an indirect measure of solid precipitation. Satellite passive microwave data are used to investigate the interannual and regional variability of the snow cover on sea ice. In this study we make use of 12 years (1992-2003) of Special Sensor Microwave/Imager (SSM/I) radiances to calculate average monthly snow depth on the Antarctic sea-ice cover. For the Antarctic sea-ice region as a whole, we find that September snow depth and sea-ice area are negatively correlated, which is not the case for individual regions. An analysis of the snow depth around Antarctica was undertaken. The results show an overall increase in snow depth for each of the five Antarctic sectors and the region as a whole, but only the Indian Ocean sector and the entire Southern Ocean show a statistically significant increase. There is a partial eastward propagation of maximum snow depths, which may be related to the Antarctic Circumpolar Wave. The overall trend and the variability of regional snow-depth distributions are also in agreement with cyclone density.</t>
  </si>
  <si>
    <t>[Markus, Thorsten; Cavalieri, Donald J.] NASA, Goddard Space Flight Ctr, Hydrospher &amp; Biospher Sci Lab, Code 661, Greenbelt, MD 20771 USA</t>
  </si>
  <si>
    <t>Markus, T (corresponding author), NASA, Goddard Space Flight Ctr, Hydrospher &amp; Biospher Sci Lab, Code 661, Greenbelt, MD 20771 USA.</t>
  </si>
  <si>
    <t>thorsten.markus@nasa.gov</t>
  </si>
  <si>
    <t>Markus, Thorsten/D-5365-2012</t>
  </si>
  <si>
    <t>10.3189/172756406781811475</t>
  </si>
  <si>
    <t>WOS:000246685800009</t>
  </si>
  <si>
    <t>Jin, M; Deal, CJ; Wang, J; Shin, KH; Tanaka, N; Whitledge, TE; Lee, SH; Gradinger, RR</t>
  </si>
  <si>
    <t>Jin, Meibing; Deal, Clara J.; Wang, Jia; Shin, Kyung-Hoon; Tanaka, Nori; Whitledge, Terry E.; Lee, Sang Heon; Gradinger, Rolf R.</t>
  </si>
  <si>
    <t>Controls of the landfast ice-ocean ecosystem offshore Barrow, Alaska</t>
  </si>
  <si>
    <t>ANTARCTIC SEA-ICE; RESOLUTE-PASSAGE; ALGAE; PHYTOPLANKTON; MICROALGAE; MEIOFAUNA; ABUNDANCE; SALINITY; DYNAMICS; GROWTH</t>
  </si>
  <si>
    <t>Based on biophysical ice-core data collected in the landfast ice off Barrow, Alaska, USA, in 2002 and 2003, a one-dimensional ice-ocean ecosystem model was developed to determine the factors controlling the bottom-ice algal community. The data and model results revealed a three-stage ice-algal bloom: (1) onset and early slow growth stage before mid-March, when growth is limited by light; (2) fast growth stage with increased light and sufficient nutrients; and (3) decline stage after late May as ice algae are flushed out of the ice bottom. Stages 2 and 3 are either separated by a transition period as in 2002 or directly connected by ice melting as in 2003, when in situ light and nutrient enrichment experiments showed only light limitations. The modeled net primary production of ice algae (NPPAi) from March to June is 1.2 and 1.7 g C m(-2) for 2002 and 2003, respectively, within the range of previous observations. Model sensitivity studies found that overall NPPAi increased almost proportionally to the initial nutrient concentrations in the water column. A phytoplankton bloom (if it occurs as in 2002) would compete with ice algae for nutrients and lead to reduced NPPAi. About 45% of the NPPAi was exported to the shallow benthos.</t>
  </si>
  <si>
    <t>Univ Alaska Fairbanks, Int Arct Res Ctr, Fairbanks, AK 99775 USA</t>
  </si>
  <si>
    <t>University of Alaska System; University of Alaska Fairbanks</t>
  </si>
  <si>
    <t>Jin, M (corresponding author), Univ Alaska Fairbanks, Int Arct Res Ctr, PO Box 757340, Fairbanks, AK 99775 USA.</t>
  </si>
  <si>
    <t>mjin@iarc.uaf.edu</t>
  </si>
  <si>
    <t>Shin, Kyung-Hoon/AAD-6999-2021</t>
  </si>
  <si>
    <t>Shin, Kyung-Hoon/0000-0002-3169-4274</t>
  </si>
  <si>
    <t>10.3189/172756406781811709</t>
  </si>
  <si>
    <t>WOS:000246685800011</t>
  </si>
  <si>
    <t>Nicolaus, M; Haas, C; Bareiss, J; Willmes, S</t>
  </si>
  <si>
    <t>Nicolaus, Marcel; Haas, Christian; Bareiss, Jorg; Willmes, Sascha</t>
  </si>
  <si>
    <t>A model study of differences of snow thinning on Arctic and Antarctic first-year sea ice during spring and summer</t>
  </si>
  <si>
    <t>GROWTH; ONSET</t>
  </si>
  <si>
    <t>The one-dimensional snow model SNITHERM is validated using field measurements of snow and superimposed ice thickness and surface energy fluxes. These were performed during the spring-to-summer transition in Svalbard and in the Weddell Sea, Antarctica. Both the seasonal snow-thickness decrease and the formation of superimposed ice are well reproduced by the model. During the three observation periods, observed and modeled snow thickness differ only by 13.1-27.1 mm on average. In regional studies, the model is forced with atmospheric re-analysis data (European Centre for Medium-Range Weather Forecasts) and applied to several meridional transects across the Arctic and Southern Ocean. These show fundamental regional differences in the onset, duration and magnitude of snow thinning in summer. In the central Arctic, snowmelt onset occurs within a narrow time range of +/- 11 days and without significant regional differences. In contrast, the snow cover on Antarctic sea ice begins to melt about 25 days earlier and the length of the Antarctic snow-thinning season increases with increasing latitude. The importance of melting and evaporation for the modeled snow-thickness decrease is very different in the two hemispheres. The ratio of evaporated snow mass to melted snow mass per unit area is derived from the model, and amounts to approximately 4.2 in the Antarctic and only 0.75 in the Arctic. This agrees with observations and model results of the surface energy balance, and illustrates the dominance of surface cooling by upward turbulent fluxes in the Antarctic.</t>
  </si>
  <si>
    <t>[Nicolaus, Marcel; Haas, Christian] Alfred Wegener Inst Polar &amp; Marine Res, Bussestr 24, D-27570 Bremerhaven, Germany; [Bareiss, Jorg; Willmes, Sascha] Univ Trier, D-54286 Trier, Germany</t>
  </si>
  <si>
    <t>Helmholtz Association; Alfred Wegener Institute, Helmholtz Centre for Polar &amp; Marine Research; Universitat Trier</t>
  </si>
  <si>
    <t>Nicolaus, M (corresponding author), Alfred Wegener Inst Polar &amp; Marine Res, Bussestr 24, D-27570 Bremerhaven, Germany.</t>
  </si>
  <si>
    <t>marcel.nicolaus@awi.de</t>
  </si>
  <si>
    <t>Nicolaus, Marcel/A-3658-2013; Haas, Christian/L-5279-2016; Willmes, Sascha/J-5796-2012</t>
  </si>
  <si>
    <t>Nicolaus, Marcel/0000-0003-0903-1746; Haas, Christian/0000-0002-7674-3500;</t>
  </si>
  <si>
    <t>German esearch Council (DFG) [HA2724/3]</t>
  </si>
  <si>
    <t>German esearch Council (DFG)</t>
  </si>
  <si>
    <t>We thank G. Konig-Langlo and B. Loose for advice on field measurements, and the Koldewey station, Ny-Alesund, Svalbard, and RV Polarstem (cruise XXII/2) for logistical support. SNTHERM was kindly provided by R. Jordan of the US Army Cold Regions Research and Engineering Laboratory. Forcing data were obtained from the European Centre for Medium-Range Weather Forecasts, Reading, UK. Careful reviews by M. Jeffries, T. Kawamura and B. Cheng significantly improved the manuscript. The work was partially financed by the German esearch Council (DFG, project HA2724/3).</t>
  </si>
  <si>
    <t>10.3189/172756406781811312</t>
  </si>
  <si>
    <t>WOS:000246685800024</t>
  </si>
  <si>
    <t>Kawamura, T; Wakabayashi, H; Ushio, S</t>
  </si>
  <si>
    <t>Kawamura, Toshiyuki; Wakabayashi, Hiroyuki; Ushio, Shuki</t>
  </si>
  <si>
    <t>Growth, properties and relation to radar backscatter coefficient of sea ice in Lutzow-Holm Bay, Antarctica</t>
  </si>
  <si>
    <t>SYNTHETIC-APERTURE-RADAR; WEDDELL SEA; BELLINGSHAUSEN; SUMMER; VARIABILITY; EVOLUTION; SALINITY; AMUNDSEN; SNOW; ROSS</t>
  </si>
  <si>
    <t>Based on studies in the Antarctic Oceans, the contribution of the snow cover to sea-ice growth has become of major interest. Snow can result in upward ice growth in contrast with ordinary downward congelation growth at the bottom. A sea-ice study was conducted to verify the upward ice growth found in a previous study and to investigate the relation between sea-ice growth and radar backscattering signature. Sea-ice samples collected at four points in Lutzow-Holm Bay, Antarctica, from 1998 to 2003 are analyzed. Analyses of snow-/ice-gauge measurements, snow depth and ice structure reveal an extremely large amount of upward ice growth of up to 1.0 m during one full year compared with a slight amount of downward growth. The upward growth was caused mostly by snow ice and to a lesser extent by superimposed ice. The salinity profile remained unchanged, although the ice survived the summer melt season. Characteristics of superimposed ice such as salinity, delta O-18 values and structure were obliterated during the summer, implying complete melting or dissolution of the superimposed layer. The ERS-2 backscatter showed a remarkable annual variation: It had a minimum value in midsummer and increased abruptly to a maximum value in late summer, then decreasing gradually in wintertime. The relation of the backscatter coefficient to the growth and properties of the snow cover and sea ice are discussed.</t>
  </si>
  <si>
    <t>[Kawamura, Toshiyuki] Hokkaido Univ, Inst Low Temp Sci, Sapporo, Hokkaido 0600819, Japan; [Wakabayashi, Hiroyuki] Japan Aerosp Explorat Agcy, Ibaraki 3500313, Japan; [Ushio, Shuki] Japan Inst Polar Res, Itabashi Ku, Tokyo 1738515, Japan</t>
  </si>
  <si>
    <t>Hokkaido University; Japan Aerospace Exploration Agency (JAXA)</t>
  </si>
  <si>
    <t>Kawamura, T (corresponding author), Hokkaido Univ, Inst Low Temp Sci, Sapporo, Hokkaido 0600819, Japan.</t>
  </si>
  <si>
    <t>kawat@lowtem.hokudai.ac.jp</t>
  </si>
  <si>
    <t>Japanese Ministry of Education, Culture, Sports, Science and Technology [13490002]; Grants-in-Aid for Scientific Research [13490002] Funding Source: KAKEN</t>
  </si>
  <si>
    <t>Japanese Ministry of Education, Culture, Sports, Science and Technology(Ministry of Education, Culture, Sports, Science and Technology, Japan (MEXT)); Grants-in-Aid for Scientific Research(Ministry of Education, Culture, Sports, Science and Technology, Japan (MEXT)Japan Society for the Promotion of ScienceGrants-in-Aid for Scientific Research (KAKENHI))</t>
  </si>
  <si>
    <t>We are indebted to S. Uto and G. Hashida for assistance with ice sampling and to the 41st, 42nd, 43rd and 44th members of the Japanese Antarctic Research Expedition for field support. We also thank H. Eicken for critical reading of the manuscript. Useful comments by anonymous reviewers are also acknowledged. This work was partly supported by a Grant-in-Aid for Scientific Research (13490002) from the Japanese Ministry of Education, Culture, Sports, Science and Technology to T.K.</t>
  </si>
  <si>
    <t>10.3189/172756406781811655</t>
  </si>
  <si>
    <t>WOS:000246685800026</t>
  </si>
  <si>
    <t>Purdie, CR; Langhorne, PJ; Leonard, GH; Haskell, TG</t>
  </si>
  <si>
    <t>Purdie, Craig R.; Langhorne, Patricia J.; Leonard, Greg H.; Haskell, Tim G.</t>
  </si>
  <si>
    <t>Growth of first-year landfast Antarctic sea ice determined from winter temperature measurements</t>
  </si>
  <si>
    <t>OCEANIC HEAT-FLUX; MCMURDO SOUND; WEDDELL-SEA; MODELS; WATER</t>
  </si>
  <si>
    <t>Temperature profiles of first-year landfast sea ice have been recorded continuously over the 2003 winter growth season at McMurdo Sound, Antarctica. The temperature gradients in the ice were used to calculate the growth rate due to conductive heat flux, which is shown to account for only part of the total ice growth. Remaining ice growth must be due to a negative oceanic heat flux. Significantly, this oceanic heat flux is shown to occur episodically, sometimes with sustained daily rates in excess of -30 W m(-2). There is no direct correlation between oceanic heat flux and water temperature. Times of increased oceanic heat flux do coincide with the appearance of platelet ice in cores.</t>
  </si>
  <si>
    <t>[Purdie, Craig R.; Langhorne, Patricia J.; Leonard, Greg H.] Univ Otago, Dept Phys, PO Box 56, Dunedin, New Zealand; [Haskell, Tim G.] Ind Res Ltd, Wellington, New Zealand</t>
  </si>
  <si>
    <t>University of Otago; Callaghan Innovation</t>
  </si>
  <si>
    <t>Purdie, CR (corresponding author), Univ Otago, Dept Phys, PO Box 56, Dunedin, New Zealand.</t>
  </si>
  <si>
    <t>craigp@physics.otago.ac.nz</t>
  </si>
  <si>
    <t>Leonard, Greg/F-7157-2010; Langhorne, Pat/C-3539-2018</t>
  </si>
  <si>
    <t>Leonard, Greg/0000-0001-7679-9486; Langhorne, Pat/0000-0003-0239-7657</t>
  </si>
  <si>
    <t>New Zealand Marsden Fund; Foundation for Research Science and Technology</t>
  </si>
  <si>
    <t>New Zealand Marsden Fund(Royal Society of New ZealandMarsden Fund (NZ)); Foundation for Research Science and Technology(New Zealand Foundation for Research, Science and Technology)</t>
  </si>
  <si>
    <t>The authors would like to thank J. Leitch for field support, the 2003 winter-over crew at Scott Base, Antarctica New Zealand, the electronics technicians in University of Otago Physics Department, and C. Petrich for insightful discussion. We are grateful to the New Zealand Marsden Fund and to the Foundation for Research Science and Technology for financial support.</t>
  </si>
  <si>
    <t>10.3189/172756406781811853</t>
  </si>
  <si>
    <t>WOS:000246685800027</t>
  </si>
  <si>
    <t>Ushio, S</t>
  </si>
  <si>
    <t>Ushio, Shuki</t>
  </si>
  <si>
    <t>Factors affecting fast-ice break-up frequency in Lutzow-Holm bay, Antarctica</t>
  </si>
  <si>
    <t>Annals of Glaciology, Vol 44, 2006</t>
  </si>
  <si>
    <t>ANNALS OF GLACIOLOGY</t>
  </si>
  <si>
    <t>SEA-ICE; SOUTHERN-OCEAN; POLYNYAS; LENGTH</t>
  </si>
  <si>
    <t>Antarctic fast-ice variation is investigated using satellite images and ship's ice navigation logs, focusing on break-up phenomena in Lutzow-Holm Bay. Although spatio-temporal scales for break-up events vary somewhat for each event, their commencement is generally in autumn and almost always in the same region. Specifically, the 1997/98 break-up event occurred over a wide area and continued for a long time after the initial break-up. Since then, break-ups have recurred until 2004, and a total of 20 annual events have been detected and monitored since 1980. Moreover, information from icebreaker navigation logs shows that unstable fast-ice conditions occurred in the 1980s and after the late 1990s. From the analysis of surface meteorological data and the offshore pack-ice distribution, anomalously shallow snow-cover depths and a peculiar retreat pattern of the ice edge are found to be factors that favour fast-ice break-up. The pack-ice distribution controls the propagation of ocean swell inside the bay; encroaching swells are likely to mechanically disintegrate fast-ice during autumn prior to the annual formation of the protective pack-ice cover to the north. Less snow cover also leads to fast-ice weakening as the melt season progresses and broken floes are then transported offshore by prevailing southerly winds.</t>
  </si>
  <si>
    <t>Natl Inst Polar Res, Itabashi Ku, Tokyo 173, Japan</t>
  </si>
  <si>
    <t>Ushio, S (corresponding author), Natl Inst Polar Res, Itabashi Ku, Kaga 1-9-10, Tokyo 173, Japan.</t>
  </si>
  <si>
    <t>ANN GLACIOL</t>
  </si>
  <si>
    <t>10.3189/172756406781811835</t>
  </si>
  <si>
    <t>WOS:000246685800028</t>
  </si>
  <si>
    <t>Banks, CJ; Brandon, MA; Garthwaite, PH</t>
  </si>
  <si>
    <t>Banks, Christopher J.; Brandon, Mark A.; Garthwaite, Paul H.</t>
  </si>
  <si>
    <t>Measurement of sea-ice draft using upward-looking ADCP on an autonomous underwater vehicle</t>
  </si>
  <si>
    <t>THICKNESS DISTRIBUTION</t>
  </si>
  <si>
    <t>During March 2003, Autosub, an autonomous underwater vehicle (AUV) operated by the UK National Oceanography Centre, Southampton, was deployed under sea ice north of Thurston Island, Amundsen Sea, Antarctica (at similar to 71 degrees S, 100 degrees W). The vehicle was fitted with an upward-looking 300 kHz acoustic Doppler current profiler (ADCP) to provide current velocity above the AUV. The ADCP also recorded ranges to the ocean-ice interface. Such data can be used to derive sea-ice draft by using a number of novel processing steps such as correcting for the coordinate systems of the ADCP unit and the vehicle as well as corrections for changes in sound speed. This paper outlines the processing stages required to obtain a probability density function (PDF) of sea-ice draft and presents PDFs for the region north of Thurston Island. The distribution of ice draft was found to be unimodal, with modes between 2.2 and 2.4 m. Given the uncertainty in sound speed, the limit of accuracy was estimated as similar to 6 cm.</t>
  </si>
  <si>
    <t>[Banks, Christopher J.; Brandon, Mark A.] Open Univ, Dept Earth Sci, Walton Hall, Milton Keynes MK7 6AA, Bucks, England; [Garthwaite, Paul H.] Open Univ, Dept Stat, Milton Keynes MK7 6AA, Bucks, England</t>
  </si>
  <si>
    <t>Open University - UK; Open University - UK</t>
  </si>
  <si>
    <t>Banks, CJ (corresponding author), Open Univ, Dept Earth Sci, Walton Hall, Milton Keynes MK7 6AA, Bucks, England.</t>
  </si>
  <si>
    <t>c.j.banks@open.ac.uk</t>
  </si>
  <si>
    <t>Brandon, Mark A/A-5804-2010; Banks, Chris J/A-5334-2012; Garthwaite, Paul H/A-3664-2009</t>
  </si>
  <si>
    <t>Brandon, Mark/0000-0002-7779-0958; Banks, Christopher/0000-0003-4457-0876</t>
  </si>
  <si>
    <t>UK Natural Environment Research Council [NER/S/R/2001/06749]</t>
  </si>
  <si>
    <t>UK Natural Environment Research Council(UK Research &amp; Innovation (UKRI)Natural Environment Research Council (NERC))</t>
  </si>
  <si>
    <t>The work was funded by the'UK Natural Environment Research Council (NER/S/R/2001/06749). Thanks to the Autosub team at the National Oceanography Centre (NOC), Southampton, in particular S. McPhaiI, and to the officers and crew of RRS James Clark Ross. Also thanks to K. Stansfield of NOC and Povl Abrahamsen of the British Antarctic Survey for their invaluable advice. This paper was improved by the useful advice of J. Morison (Scientific Editor), D. Hayes of the University of Cyprus and one anonymous reviewer.</t>
  </si>
  <si>
    <t>10.3189/172756406781811871</t>
  </si>
  <si>
    <t>WOS:000246685800034</t>
  </si>
  <si>
    <t>Reid, JE; Pfaffling, A; Worby, AP; Bishop, IR</t>
  </si>
  <si>
    <t>Reid, J. E.; Pfaffling, A.; Worby, A. P.; Bishop, I. R.</t>
  </si>
  <si>
    <t>In situ measurements of the direct-current conductivity of Antarctic sea ice: implications for airborne electromagnetic sounding of sea-ice thickness</t>
  </si>
  <si>
    <t>RESISTIVITY; BRINE; ANISOTROPY; SUMMER; WINTER</t>
  </si>
  <si>
    <t>Airborne, ship-borne and surface low-frequency electromagnetic (EM) methods have become widely applied to measure sea-ice thickness. EM responses measured over sea ice depend mainly on the sea-water conductivity and on the height of the sensor above the sea-ice-sea-water interface, but may be sensitive to the sea-ice conductivity at high excitation frequencies. We have conducted in situ measurements of direct-current conductivity of sea ice using standard geophysical geoelectrical methods. Sea-ice thickness estimated from the geoelectrical sounding data was found to be consistently underestimated due to the pronounced vertical-to-horizontal conductivity anisotropy present in level sea ice. At five sites, it was possible to determine the approximate horizontal and vertical conductivities from the sounding data. The average horizontal conductivity was found to be 0.017 S m(-1), and that in the vertical direction to be 9-12 times higher. EM measurements over level sea ice are sensitive only to the horizontal conductivity. Numerical modelling has shown that the assumption of zero sea-ice conductivity in interpretation of airborne EM data results in a negligible error in interpreted thickness for typical level Antarctic sea ice.</t>
  </si>
  <si>
    <t>[Reid, J. E.] Univ Tasmania, Sch Earth Sci, Private Bag 7, Hobart, Tas 7001, Australia; [Pfaffling, A.] Alfred Wegener Inst Polar &amp; Marine Res, D-27515 Bremerhaven, Germany; [Worby, A. P.] Antarctic Climate &amp; Ecosyst Cooperat Res, Hobart, Tas 7001, Australia; [Worby, A. P.] Australian Antarctic Div, Hobart, Tas 7001, Australia; [Bishop, I. R.] Mitre Geophys Pty Ltd, Sandy Bay, Tas 7006, Australia</t>
  </si>
  <si>
    <t>University of Tasmania; Helmholtz Association; Alfred Wegener Institute, Helmholtz Centre for Polar &amp; Marine Research; Australian Antarctic Division</t>
  </si>
  <si>
    <t>Reid, JE (corresponding author), Univ Tasmania, Sch Earth Sci, Private Bag 7, Hobart, Tas 7001, Australia.</t>
  </si>
  <si>
    <t>james.reid@utas.edu.au</t>
  </si>
  <si>
    <t>Worby, Anthony P/A-2373-2012</t>
  </si>
  <si>
    <t>Australian Antarctic Science Advisory Committee [2381]</t>
  </si>
  <si>
    <t>Australian Antarctic Science Advisory Committee</t>
  </si>
  <si>
    <t>This research was supported by Australian Antarctic Science Advisory Committee grant 2381. We thank the officers and crew of RSV Aurora Australis for field support. K. Tateyama kindly provided the sea-ice core temperature data used to produce Figures 5 and 6. We thank A. Munro for assistance with data acquisition and processing.</t>
  </si>
  <si>
    <t>10.3189/172756406781811772</t>
  </si>
  <si>
    <t>WOS:000246685800035</t>
  </si>
  <si>
    <t>Gerland, S; Hall, R</t>
  </si>
  <si>
    <t>Gerland, Sebastian; Hall, Richard</t>
  </si>
  <si>
    <t>Variability of fast-ice thickness in Spitsbergen fjords</t>
  </si>
  <si>
    <t>ANTARCTIC SEA-ICE; INTERANNUAL VARIABILITY; SUMMER; KONGSFJORDEN; SVALBARD</t>
  </si>
  <si>
    <t>Detailed measurements of sea-ice thickness and snow on sea ice were recorded at different locations in fjords along the western coast of Spitsbergen, the largest island in the Svalbard archipelago, in 2004. Data corresponding to the ice situation before and after melt onset were collected for Kongsfjorden and Van Mijenfjorden, while Hornsund was investigated once during early spring. Profiles of total thickness (snow plus ice thickness) were measured, together with some snow-thickness measurements. Total thicknesses were measured with a portable electromagnetic instrument and at selected sites by drilling. The three fjords show some differences in measured thicknesses, connected to individual conditions. However, total thickness does not differ substantially between the three fjords before melt onset. The modal total thickness for all three fjords before melt onset was 1.075 m, and the corresponding modal snow thickness was 0.225 m (bin width 0.05 m). Long-term Kongsfjorden ice-thickness data since 1997 show that the maximum ice thickness varies significantly interannually, as observed at other Arctic sites. The average maximum ice thickness for Kongsfjorden was 0.71 m (years 1997-98, 2000 and 2002-05), and the respective average maximum snow thickness was 0.22 m. In Kongsfjorden, 2004 was the year with highest maximum total thickness and snow thickness relative to the other years.</t>
  </si>
  <si>
    <t>Polar Environm Ctr, Norsk Polar Inst, NO-9296 Tromso, Norway</t>
  </si>
  <si>
    <t>Norwegian Polar Institute</t>
  </si>
  <si>
    <t>Hall, R (corresponding author), Polar Environm Ctr, Norsk Polar Inst, NO-9296 Tromso, Norway.</t>
  </si>
  <si>
    <t>gerland@npolar.no</t>
  </si>
  <si>
    <t>10.3189/172756406781811367</t>
  </si>
  <si>
    <t>WOS:000246685800037</t>
  </si>
  <si>
    <t>Tateyama, K; Shirasawa, K; Uto, S; Kawamura, T; Toyota, T; Enomoto, H</t>
  </si>
  <si>
    <t>Tateyama, K.; Shirasawa, K.; Uto, S.; Kawamura, T.; Toyota, T.; Enomoto, H.</t>
  </si>
  <si>
    <t>Standardization of electromagnetic-induction measurements of sea-ice thickness in polar and subpolar seas</t>
  </si>
  <si>
    <t>WINTER SNOW COVER; RESISTIVITY; SUMMER</t>
  </si>
  <si>
    <t>Electromagnetic-induction (EM) instruments can be used to estimate sea-ice thickness because of the large contrast in the conductivities of sea ice and sea water, and are currently used in investigations of sea-ice thickness. In this study we analyze several snow, ice and sea-water samples and attempt to derive an appropriate formula to transform the apparent conductivity obtained from EM measurements to the total thickness of snow and ice for all regions and seasons. This was done to simplify the EM tuning procedure. Surface EM measurement transects with the instrument at varying heights above the ice were made in the Chukchi Sea, off East Antarctica, in the Sea of Okhotsk and in Saroma-ko (lagoon). A standardized transformation formula based on a one-dimensional multi-layer model was developed that also considers the effects of water-filled gaps between deformed ice, a saline snow slush layer, and the increase in the footprint size caused by increasing the instrument height. The overall average error in ice thickness determined with the standardized transform was &lt;7%, and the regional average errors were 2.2% for the Arctic, 7.0% for the Antarctic, 6.5% for the Sea of Okhotsk and 4.4% for Saroma-ko.</t>
  </si>
  <si>
    <t>[Tateyama, K.; Enomoto, H.] Kitami Inst Technol, Dept Civil Engn, Koen Cho 165, Kitami, Hokkaido 090, Japan; [Shirasawa, K.; Kawamura, T.; Toyota, T.] Hokkaido Univ, Inst Low Temp Sci, Sapporo, Hokkaido 0600819, Japan; [Uto, S.] Natl Maritime Res Inst, Mitaka, Tokyo 1810004, Japan</t>
  </si>
  <si>
    <t>Kitami Institute of Technology; Hokkaido University; National Maritime Research Institute</t>
  </si>
  <si>
    <t>Tateyama, K (corresponding author), Kitami Inst Technol, Dept Civil Engn, Koen Cho 165, Kitami, Hokkaido 090, Japan.</t>
  </si>
  <si>
    <t>tateyaka@mail.kitami-it.ac.jp</t>
  </si>
  <si>
    <t>Toyota, Takenobu/D-9101-2012</t>
  </si>
  <si>
    <t>10.3189/172756406781811484</t>
  </si>
  <si>
    <t>WOS:000246685800038</t>
  </si>
  <si>
    <t>Tamura, T; Ohshima, KI; Enomoto, H; Tateyama, K; Muto, A; Ushio, S; Massom, RA</t>
  </si>
  <si>
    <t>Tamura, Takeshi; Ohshima, Kay I.; Enomoto, Hiroyuki; Tateyama, Kazutaka; Muto, Atsuhiro; Ushio, Shuki; Massom, Robert A.</t>
  </si>
  <si>
    <t>Estimation of thin sea-ice thickness from NOAA AVHRR data in a polynya off the Wilkes Land coast, East Antarctica</t>
  </si>
  <si>
    <t>SURFACE-TEMPERATURE</t>
  </si>
  <si>
    <t>Antarctic coastal polynyas are major areas of intense ocean-atmosphere heat and moisture flux, and associated high sea-ice production and dense-water formation. Their accurate detection, including an estimate of thin ice thickness, is therefore very important. In this paper, we apply a technique originally developed in the Arctic to an estimation of sea-ice thickness using US National Oceanic and Atmospheric Administration (NOAA) Advanced Very High Resolution Radiometer (AVHRR) data and meteorological data in the Vincennes Bay polynya off Wilkes Land, East Antarctica. The method is based upon the heat-flux calculation using sea-ice surface temperature estimates from the satellite thermal-infrared data combined with global objective analysis (European Centre for Medium-Range Weather Forecasts (ECMWF)) data. The validity of this method is assessed by comparing results with independent ice-surface temperature and ice-thickness data obtained during an Australian-led research cruise to the region in 2003. In thin-ice (polynya) regions, ice thicknesses estimated by the heat-flux calculation using AVHRR and ECMWF data show reasonable agreement with those estimated by (a) applying the heat-flux calculation to in situ radiation thermometer and meteorological data and (b) in situ observations. The standard deviation of the difference between the AVHRR-derived and in situ data is similar to 0.02 m. Comparison of the AVHRR ice-thickness retrievals with coincident satellite passive-microwave polarization ratio data confirms the potential of the latter as a means of deriving maps of thin sea-ice thickness on the wider scale, uninterrupted by darkness and cloud cover.</t>
  </si>
  <si>
    <t>[Tamura, Takeshi] Hokkaido Univ, Grad Sch Environm Earth Sci, Sapporo, Hokkaido 0600810, Japan; [Tamura, Takeshi; Ohshima, Kay I.] Hokkaido Univ, Inst Low Temp Sci, Sapporo, Hokkaido 0600819, Japan; [Enomoto, Hiroyuki; Tateyama, Kazutaka] Kitami Inst Technol, Snow &amp; Ice Res Lab, Kitami, Hokkaido 0908507, Japan; [Muto, Atsuhiro] Chiba Univ, Ctr Environm Remote Sensing, Inage Ku, Chiba 2638522, Japan; [Ushio, Shuki] Natl Inst Polar Res, Itabashi Ku, Tokyo 1738515, Japan; [Massom, Robert A.] Australian Antarctic Div, Hobart, Tas 7001, Australia; [Massom, Robert A.] Univ Tasmania, Antarctic Climate &amp; Ecosyst Cooperat Res, Hobart, Tas 7001, Australia</t>
  </si>
  <si>
    <t>Hokkaido University; Hokkaido University; Kitami Institute of Technology; Chiba University; Research Organization of Information &amp; Systems (ROIS); National Institute of Polar Research (NIPR) - Japan; Australian Antarctic Division; University of Tasmania</t>
  </si>
  <si>
    <t>Muto, A (corresponding author), Hokkaido Univ, Grad Sch Environm Earth Sci, Sapporo, Hokkaido 0600810, Japan.</t>
  </si>
  <si>
    <t>tamutake@lowtem.hokudai.ac.jp</t>
  </si>
  <si>
    <t>Ohshima, Kay I/D-6909-2012; Muto, Atsuhiro/AAJ-9558-2020</t>
  </si>
  <si>
    <t>Muto, Atsuhiro/0000-0002-1722-2457; Massom, Robert/0000-0003-1533-5084</t>
  </si>
  <si>
    <t>Japanese Ministry of Education, Culture, Sports, Science and Technology (MEXT); Project for Sustainable Coexistence of Human, Nature and the Earth within MEXT; Australian Government's Cooperative Research Centres Programme through the Antarctic Climate and Ecosystems Cooperative Research Centre (ACE CRC); AAS [2298]; NASA's AMSR-E Validation Program [NRA-OES-03]</t>
  </si>
  <si>
    <t>Japanese Ministry of Education, Culture, Sports, Science and Technology (MEXT)(Ministry of Education, Culture, Sports, Science and Technology, Japan (MEXT)); Project for Sustainable Coexistence of Human, Nature and the Earth within MEXT; Australian Government's Cooperative Research Centres Programme through the Antarctic Climate and Ecosystems Cooperative Research Centre (ACE CRC)(Australian GovernmentDepartment of Industry, Innovation and ScienceCooperative Research Centres (CRC) Programme); AAS; NASA's AMSR-E Validation Program</t>
  </si>
  <si>
    <t>We acknowledge the excellent support given by the captain and crew of the R/V Aurora Australis. We are grateful to T. Scambos and T. Haran of the National Snow and Ice Data Center (NSIDC), Boulder, CO, USA, for supplying the AVHRR data, to 1. Allison, V. Lytle, T. Worby, F. Nishio and K. Naoki for support and cooperation, and to T. Toyota, Y. Fukamachi, S. Nihashi and M. Wakatsuchi for support and encouragement. We also thank anonymous reviewers for useful comments. SSM/I data were obtained from the NASA Earth Observing System Distributed Active Archive Center (DAAC) at the NSIDC. T.T. was supported by the 21st Century Center of Excellence Program funded by the Japanese Ministry of Education, Culture, Sports, Science and Technology (MEXT). K.O. was supported by the fund from the Research Revolution 2002 of the Project for Sustainable Coexistence of Human, Nature and the Earth within MEXT. For R.M., this work was supported by the Australian Government's Cooperative Research Centres Programme through the Antarctic Climate and Ecosystems Cooperative Research Centre (ACE CRC), was carried out as part of AAS project 2298, and formed part of NASA's AMSR-E Validation Program through NRA-OES-03.</t>
  </si>
  <si>
    <t>10.3189/172756406781811745</t>
  </si>
  <si>
    <t>Bronze, Green Submitted, Green Accepted</t>
  </si>
  <si>
    <t>WOS:000246685800042</t>
  </si>
  <si>
    <t>Uto, S; Shimoda, H; Ushio, S</t>
  </si>
  <si>
    <t>Uto, Shotaro; Shimoda, Haruhito; Ushio, Shuki</t>
  </si>
  <si>
    <t>Characteristics of sea-ice thickness and snow-depth distributions of the summer landfast ice in Lutzow-Holm Bay, East Antarctica</t>
  </si>
  <si>
    <t>GROWTH</t>
  </si>
  <si>
    <t>Sea-ice observations have been conducted on board icebreaker Shirase as a part of the scientific programs of the Japanese Antarctic Research Expedition. We summarize these to investigate spatial and interannual variability of ice thickness and snow depth of the summer landfast ice in Lutzow-Holm Bay, East Antarctica. Electromagnetic-inductive observations, which have been conducted since 2000, provide total thickness distributions with high spatial resolution. A clear discontinuity, which separates thin first-year ice from thick multi-year ice, was observed in the total thickness distributions in two voyages. Comparison with satellite images revealed that such phenomena reflected the past break-up of the landfast ice. Within 20-30 km from the shore, total thickness as well as snow depth decrease toward the shore. This is due to the snowdrift by the strong northeasterly wind. Video observations of sea-ice thickness and snow depth were conducted on 11 voyages since December 1987. Probability density functions derived from total thickness distributions in each year are categorized into three types: a thin-ice, thick-ice and intermediate type. Such interannual variability primarily depends on the extent and duration of the successive break-up events.</t>
  </si>
  <si>
    <t>[Uto, Shotaro; Shimoda, Haruhito] Natl Maritime Res Inst, Shinkawa 6-38-1, Mitaka, Tokyo 1810004, Japan; [Ushio, Shuki] Natl Inst Polar Res, Itabashi Ku, Tokyo 1738515, Japan</t>
  </si>
  <si>
    <t>National Maritime Research Institute; Research Organization of Information &amp; Systems (ROIS); National Institute of Polar Research (NIPR) - Japan</t>
  </si>
  <si>
    <t>Uto, S (corresponding author), Natl Maritime Res Inst, Shinkawa 6-38-1, Mitaka, Tokyo 1810004, Japan.</t>
  </si>
  <si>
    <t>uto@nmri.go.jp</t>
  </si>
  <si>
    <t>10.3189/172756406781811240</t>
  </si>
  <si>
    <t>WOS:000246685800044</t>
  </si>
  <si>
    <t>Massom, RA; Worby, A; Lytle, V; Markus, T; Allison, I; Scambos, T; Enomoto, H; Tateyama, K; Haran, T; Comiso, JC; Pfaffling, A; Tamura, T; Muto, A; Kanagaratnam, P; Giles, B; Young, N; Hyland, G; Key, E</t>
  </si>
  <si>
    <t>Massom, Robert A.; Worby, Anthony; Lytle, Victoria; Markus, Thorsten; Allison, Ian; Scambos, Theodore; Enomoto, Hiroyuki; Tateyama, Kazutaka; Haran, Terence; Comiso, Josefino C.; Pfaffling, Andreas; Tamura, Takeshi; Muto, Atsuhiro; Kanagaratnam, Pannir; Giles, Barry; Young, Neal; Hyland, Glenn; Key, Erica</t>
  </si>
  <si>
    <t>ARISE (Antarctic Remote Ice Sensing Experiment) in the East 2003: Validation of satellite-derived sea-ice data products</t>
  </si>
  <si>
    <t>MICROWAVE</t>
  </si>
  <si>
    <t>Preliminary results are presented from the first validation of geophysical data products (ice concentration, snow thickness on sea ice (h,) and ice temperature (T-I) from the NASA EOS Aqua AMSR-E sensor, in East Antarctica (in September-October 2003). The challenge of collecting sufficient measurements with which to validate the coarse-resolution AMSR-E data products adequately was addressed by means of a hierarchical approach, using detailed in situ measurements, digital aerial photography and other satellite data. Initial results from a circumnavigation of the experimental site indicate that, at least under cold conditions with a dry snow cover, there is a reasonably close agreement between satellite- and aerial-photo-derived ice concentrations, i.e. 97.2 +/- 3.6% for NT2 and 96.5 +/- 2.5% for BBA algorithms vs 94.3% for the aerial photos. In general, the AMSR-E concentration represents a slight overestimate of the actual concentration, with the largest discrepancies occurring in regions containing a relatively high proportion of thin ice. The AMSR-E concentrations from the NT2 and BBA algorithms are similar on average, although differences of up to 5% occur in places, again related to thin-ice distribution. The AMSR-E ice temperature (TI) product agrees with coincident surface measurements to approximately 0.5 degrees C in the limited dataset analyzed. Regarding snow thickness, the AMSR h(s) retrieval is a significant underestimate compared to in situ measurements weighted by the percentage of thin ice (and open water) present. For the case study analyzed, the underestimate was 46% for the overall average, but 23% compared to smooth-ice measurements. The spatial distribution of the AMSR-E h(s) product follows an expected and consistent spatial pattern, suggesting that the observed difference may be an offset (at least under freezing conditions). Areas of discrepancy are identified, and the need for future work using the more extensive dataset is highlighted.</t>
  </si>
  <si>
    <t>[Massom, Robert A.; Worby, Anthony; Allison, Ian; Giles, Barry; Young, Neal; Hyland, Glenn] Univ Tasmania, Antarctic Climate &amp; Ecosyst CRC, Sandy Bay, Tas 7005, Australia; [Worby, Anthony; Allison, Ian; Giles, Barry; Young, Neal; Hyland, Glenn] Australian Antarctic Div, Kingston, Tas 7050, Australia; [Lytle, Victoria] Norwegian Polar Res Inst, Polar Environm Ctr, CIiC Int Project Off, NO-9296 Tromso, Norway; [Markus, Thorsten; Comiso, Josefino C.] NASA, Goddard Space Flight Ctr, Greenbelt, MD 20771 USA; [Scambos, Theodore; Haran, Terence] Univ Colorado, Natl Snow &amp; Ice Data Ctr, Boulder, CO 80309 USA; [Enomoto, Hiroyuki; Tateyama, Kazutaka] Kitami Inst Technol, Kitami, Hokkaido 0908507, Japan; [Pfaffling, Andreas] Alfred Wegener Inst Polar &amp; Marine Res, D-27515 Bremerhaven, Germany; [Tamura, Takeshi] Hokkaido Univ, Grad Sch Environm Earth Sci, Sapporo, Hokkaido 0600819, Japan; [Muto, Atsuhiro] Chiba Univ, Ctr Environm Remote Sensing, Inage Ku, Chiba 2638522, Japan; [Kanagaratnam, Pannir] Univ Kansas, Ctr Remote Sensing Ice Sheets, Lawrence, KS 66045 USA; [Key, Erica] Univ Miami, Rosenstiel Sch Marine &amp; Atmospher Sci, MPO Div, Remote Sensing Lab, Miami, FL 33149 USA</t>
  </si>
  <si>
    <t>University of Tasmania; Australian Antarctic Division; Norwegian Polar Institute; National Aeronautics &amp; Space Administration (NASA); NASA Goddard Space Flight Center; University of Colorado System; University of Colorado Boulder; Kitami Institute of Technology; Helmholtz Association; Alfred Wegener Institute, Helmholtz Centre for Polar &amp; Marine Research; Hokkaido University; Chiba University; University of Kansas; University of Miami</t>
  </si>
  <si>
    <t>Massom, RA (corresponding author), Australian Antarctic Div, Dept Environm &amp; Heritage, Hobart, Tas 7001, Australia.</t>
  </si>
  <si>
    <t>r.massom@utas.edu.au</t>
  </si>
  <si>
    <t>Muto, Atsuhiro/AAJ-9558-2020; Worby, Anthony P/A-2373-2012; Allison, Ian F/I-4477-2015; Markus, Thorsten/D-5365-2012</t>
  </si>
  <si>
    <t>Muto, Atsuhiro/0000-0002-1722-2457; Allison, Ian F/0000-0001-9599-0251; Massom, Robert/0000-0003-1533-5084; Young, Neal/0000-0001-9729-3273; SCAMBOS, Ted A./0000-0003-4268-6322; Key, Erica/0000-0002-5099-5961</t>
  </si>
  <si>
    <t>Australian Government's Cooperative Research Centres Programme through the Antarctic Climate and Ecosystems Cooperative Research Centre (ACE CRC); AAS [2298]; NASA's AMSR-E Validation Program [NRA-OES-03]</t>
  </si>
  <si>
    <t>Australian Government's Cooperative Research Centres Programme through the Antarctic Climate and Ecosystems Cooperative Research Centre (ACE CRC)(Australian GovernmentDepartment of Industry, Innovation and ScienceCooperative Research Centres (CRC) Programme); AAS; NASA's AMSR-E Validation Program</t>
  </si>
  <si>
    <t>We gratefully acknowledge the professional support of Captain Pearson, the officers and crew of the RSV Aurora Australis, and the helicopter pilots and crew. This work was supported by the Australian Government's Cooperative Research Centres Programme through the Antarctic Climate and Ecosystems Cooperative Research Centre (ACE CRC). It was carried out as part of AAS project 2298, and formed part of NASA's AMSR-E Validation Program (http://eospso.gsfc.nasa.gov/validation/index.php) through NRA-OES-03. Thanks are also extended to the expeditioners travelling to Casey for their help during ice stations and in helicopter data collection. The efforts of A. Petty in analyzing the aerial photography and A. O'Connor in collating the buoy data and producing maps are much appreciated. We also acknowledge the support provided by the Australian Bureau of Meteorology team (D. Allen, S. Visentin and J. Golding), J. Bohlander, J. Smith and M. Marquis (all of NSIDC), the Japan Aerospace Exploration Agency QAXA) and B. Quinton (AAD). The excellent suggestions of P. Langhorne (University of Otago, New Zealand), C. Geiger (CRREL, USA) and an anonymous reviewer are much appreciated.</t>
  </si>
  <si>
    <t>10.3189/172756406781811268</t>
  </si>
  <si>
    <t>Green Submitted, Green Accepted, Bronze</t>
  </si>
  <si>
    <t>WOS:000246685800045</t>
  </si>
  <si>
    <t>Willmes, S; Bareiss, J; Haas, C; Nicolau, M</t>
  </si>
  <si>
    <t>Willmes, Sascha; Bareiss, Joerg; Haas, Christian; Nicolau, Marcel</t>
  </si>
  <si>
    <t>The importance of diurnal processes for the seasonal cycle of sea-ice microwave brightness temperatures during early summer in the Weddell Sea, Antarctica</t>
  </si>
  <si>
    <t>MELT-ONSET; SNOWMELT; GHZ</t>
  </si>
  <si>
    <t>Over the perennial sea ice in the western and central Weddell Sea, Antarctica, the onset of summer is accompanied by a significant decrease of sea-ice brightness temperatures (T-b) as observed by passive-microwave radiometers such as the Special Sensor Microwave/imager (SSM/I). The summer-specific T-b drop is the dominant feature in the seasonal cycle of T-b data and represents a conspicuous difference to most Arctic sea-ice regions, where the onset of summer is mostly marked by a rise in T-b. Data from a 5 week drift station through the western Weddell Sea in the 2004/05 austral summer, Ice Station POLarstern (ISPOL), helped with identifying the characteristic processes for Antarctic sea ice. In situ glaciological and meteorological data, in combination with SSM/I swath satellite data, indicate that the cycle of repeated diurnal thawing and refreezing of snow ('freeze-thaw cycles') is the dominant process in the summer season, with the absence of complete snow wetting. The resulting metamorphous snow with increased grain size, as well as the formation of ice layers, leads to decreasing emissivity, enhanced volume scattering and increased backscatter. This causes the summer T-b drop.</t>
  </si>
  <si>
    <t>[Willmes, Sascha; Bareiss, Joerg] Univ Trier, D-54286 Trier, Germany; [Haas, Christian; Nicolau, Marcel] Alfred Wegener Inst Polar &amp; Marine Res, D-27570 Bremerhaven, Germany</t>
  </si>
  <si>
    <t>Universitat Trier; Helmholtz Association; Alfred Wegener Institute, Helmholtz Centre for Polar &amp; Marine Research</t>
  </si>
  <si>
    <t>Willmes, S (corresponding author), Univ Trier, D-54286 Trier, Germany.</t>
  </si>
  <si>
    <t>willmes@uni-trier.de</t>
  </si>
  <si>
    <t>Haas, Christian/L-5279-2016; Willmes, Sascha/J-5796-2012</t>
  </si>
  <si>
    <t>Haas, Christian/0000-0002-7674-3500;</t>
  </si>
  <si>
    <t>Deutsche Forschungsgemeinschaft [BA 2060/2-2, HA 2724/4-2]</t>
  </si>
  <si>
    <t>Deutsche Forschungsgemeinschaft(German Research Foundation (DFG))</t>
  </si>
  <si>
    <t>We are very grateful to D.K. Perovich, J. Comiso and an anonymous reviewer for their most useful and constructive comments. We also thank the members of the ISPOL expedition for discussions and for help during fieldwork. Discussions with S. Kern were highly appreciated. Gridded SSM/1 data were kindly provided by NS1DC, scatterometer data by !FREMER, and SSM/I swath data by the GHRC. This study is partly funded by the Deutsche Forschungsgemeinschaft under contract BA 2060/2-2 and HA 2724/4-2.</t>
  </si>
  <si>
    <t>10.3189/172756406781811817</t>
  </si>
  <si>
    <t>WOS:000246685800046</t>
  </si>
  <si>
    <t>Knuth, MA; Ackley, SF</t>
  </si>
  <si>
    <t>Knuth, Margaret A.; Ackley, Stephen F.</t>
  </si>
  <si>
    <t>Summer and early-fall sea-ice concentration in the Ross Sea: comparison of in situ ASPeCt observations and satellite passive microwave estimates</t>
  </si>
  <si>
    <t>COVER</t>
  </si>
  <si>
    <t>Sea-ice conditions were observed using the ASPeCt observation protocol on three cruises in the Ross Sea spanning the Antarctic summer season (APIS, December 1999-February 2000; AnSlope 1, March-April 2003; AnSlope 2, February-April 2004). An additional dataset was analyzed from helicopter video surveys taken during the APIS cruise. The helicopter video was analyzed using two techniques: first, as an ASPeCt dataset where it was sampled visually for ice concentration, floe sizes and ice type on a point basis at 11 km intervals; second, computerized image processing on a subset of nine helicopter flights to obtain ice concentration on a continuous basis (1 s intervals) for the entire flight. This continuous sampling was used to validate the point-sampling methods to characterize the ice cover; the 'ASPeCt sampling' on the helicopter video and the use of the ASPeCt protocol on the ship surveys. The estimates for average ice concentration agreed within 5% for the continuous digitized data and point sampling at 11 km intervals in this comparison. The ship and video in situ datasets were then compared with ice concentrations from SSM/I passive microwave satellite data derived using the Bootstrap and NASA-Team algorithms. Less than 50% of the variance in summer ice concentration observed in situ was explainable by satellite microwave data. The satellite data were also inconsistent in measurement, both underestimating and overestimating the concentration for summer conditions, but improved in the fall period when conditions were colder. This improvement was in the explainable variance of &gt;70%, although in situ concentration was underestimated (albeit consistently) by the satellite imagery in fall.</t>
  </si>
  <si>
    <t>[Knuth, Margaret A.] Clarkson Univ, Dept Civil &amp; Environm Engn, POB 5712, Potsdam, NY 13699 USA; [Ackley, Stephen F.] Univ Texas San Antonio, Earth &amp; Environm Sci, San Antonio, TX 78249 USA</t>
  </si>
  <si>
    <t>Clarkson University; University of Texas System; University of Texas at San Antonio (UTSA)</t>
  </si>
  <si>
    <t>Knuth, MA (corresponding author), Clarkson Univ, Dept Civil &amp; Environm Engn, POB 5712, Potsdam, NY 13699 USA.</t>
  </si>
  <si>
    <t>knuthma@gmail.com</t>
  </si>
  <si>
    <t>US National Science Foundation [OPP-9814968, OPP-9908694]</t>
  </si>
  <si>
    <t>US National Science Foundation(National Science Foundation (NSF))</t>
  </si>
  <si>
    <t>This research was funded by the US National Science Foundation under grants OPP-9814968 and OPP-9908694.</t>
  </si>
  <si>
    <t>10.3189/172756406781811466</t>
  </si>
  <si>
    <t>WOS:000246685800047</t>
  </si>
  <si>
    <t>Scambos, TA; Haran, TM; Massom, R</t>
  </si>
  <si>
    <t>Scambos, Ted A.; Haran, Terry M.; Massom, Robert</t>
  </si>
  <si>
    <t>Validation of AVHRR and MODIS ice surface temperature products using in situ radiometers</t>
  </si>
  <si>
    <t>EMITTED RADIANCE INTERFEROMETER; ACCURACY</t>
  </si>
  <si>
    <t>Ship-borne and airborne infrared radiometric measurements during the ARISE cruise of September-October 2003 permitted in situ validation studies of two satellite-based ice surface skin temperature algorithms: the AVHRR Polar Pathfinder Ice Surface Temperature and the MODIS Sea Ice Surface Temperature. Observations of sea ice from the Aurora Australis ship's rail using a KT-19.82 radiometer were conducted between 25 September and 21 October during clear-sky overflights by AVHRR (41 passes) and MODIS (17 passes) on their respective satellite platforms. Data from both sensors show highly linear fits to 1 min integrated radiometer spot measurements, spanning the range 245-270 K with a +/- 1.4 degrees C, 1 sigma, (AVHRR) and +/- 1.0 degrees C (MODIS) variation relative to a I : 1 relationship. There was no significant offset. Helicopter observations made with a KT-19.85 radiometer on three dates (8, 19 and 20 October) provided more data (236 gridcell sites total), but over a more limited sea-ice skin temperature range (252-268 K), with higher variation ( +/- 1.7 degrees C, 1 sigma) due to mixed-pixel issues. Comparison of MODIS and AVHRR algorithms directly, with both images acquired during a helicopter flight, indicates very high correlation and near-unity slope for the two satellite-based algorithms. Ship air-temperature data during the validation indicated moderate to strong inversions over sea ice under clear skies. These formed and decayed rapidly (tens of minutes) as clouds moved out of and into the zenith area.</t>
  </si>
  <si>
    <t>[Scambos, Ted A.; Haran, Terry M.] Univ Colorado, CIRES, Natl Snow &amp; Ice Data Ctr, Boulder, CO 80309 USA; [Massom, Robert] Univ Tasmania, Australian Antarctic Div, Dept Environm &amp; Heritage, Hobart, Tas 7001, Australia; [Massom, Robert] Univ Tasmania, Antarctic Climate &amp; Ecosyst CRC, Hobart, Tas 7001, Australia</t>
  </si>
  <si>
    <t>University of Colorado System; University of Colorado Boulder; University of Tasmania; Australian Antarctic Division; University of Tasmania</t>
  </si>
  <si>
    <t>Scambos, TA (corresponding author), Univ Colorado, CIRES, Natl Snow &amp; Ice Data Ctr, Boulder, CO 80309 USA.</t>
  </si>
  <si>
    <t>teds@icehouse.colorado.edu</t>
  </si>
  <si>
    <t>Massom, Robert/0000-0003-1533-5084; SCAMBOS, Ted A./0000-0003-4268-6322</t>
  </si>
  <si>
    <t>Australian Government's Cooperative Research Centres Programme through the Antarctic Climate and Ecosystems Cooperative Research Centre (ACE CRC); ASAC [2298]; NASA [NAG5-11308]; NASA Snow and Ice Distributed Active Archive at NSIDC</t>
  </si>
  <si>
    <t>Australian Government's Cooperative Research Centres Programme through the Antarctic Climate and Ecosystems Cooperative Research Centre (ACE CRC)(Australian GovernmentDepartment of Industry, Innovation and ScienceCooperative Research Centres (CRC) Programme); ASAC; NASA(National Aeronautics &amp; Space Administration (NASA)); NASA Snow and Ice Distributed Active Archive at NSIDC</t>
  </si>
  <si>
    <t>We acknowledge with gratitude the support of the captain and crew of the Aurora Australis. Images and other satellite data required during the cruise were provided byj. Bohlander and J. Smith of NSIDC. Meteorological data were provided by D. Allen, S. Visentin and J. Golding; comparison data from the MAERI ocean/ice radiometric sensing equipment were provided by E. Key and P. Minnett. R.M. was supported by the Australian Government's Cooperative Research Centres Programme through the Antarctic Climate and Ecosystems Cooperative Research Centre (ACE CRC) and ASAC Project 2298. T.S. and TH. were supported by NASA grant NAG5-11308 and the NASA Snow and Ice Distributed Active Archive at NSIDC.</t>
  </si>
  <si>
    <t>10.3189/172756406781811457</t>
  </si>
  <si>
    <t>Green Submitted, Bronze, Green Accepted</t>
  </si>
  <si>
    <t>WOS:000246685800053</t>
  </si>
  <si>
    <t>Meier, WN; Dai, M</t>
  </si>
  <si>
    <t>Meier, Walter N.; Dai, Mingrui</t>
  </si>
  <si>
    <t>High-resolution sea-ice motions from AMSR-E imagery</t>
  </si>
  <si>
    <t>VALIDATION; ASSIMILATION; BUOY</t>
  </si>
  <si>
    <t>Passive microwave remote-sensing imagery has proven to be a useful source for sea-ice motions because of its all-sky capabilities. However, the low spatial resolution of the passive microwave sensors has not allowed the retrieval of small-scale motion details such as lead and ridge formation. The NASA Earth Observing System Advanced Microwave Scanning Radiometer (AMSR-E) has more than double the spatial resolution of previous passive microwave sensors, allowing it to track the formation of moderate-sized leads and yield much more detailed and more accurate ice-motion estimates. Comparisons with buoys indicate that AMSR-E motions have errors &gt; 30% lower than ice motions derived from the previous passive microwave sensors. While AMSR-E still cannot retrieve the same level of detail as synthetic aperture radars or visible/infrared sensors, AMSR-E's complete coverage can better capture the ephemeral motions of the sea-ice cover on daily, and potentially sub-daily, timescales.</t>
  </si>
  <si>
    <t>[Meier, Walter N.; Dai, Mingrui] Univ Colorado, Natl Snow &amp; Ice Data Ctr, World Data Ctr Glaciol, Boulder, CO 80309 USA</t>
  </si>
  <si>
    <t>Meier, WN (corresponding author), Univ Colorado, Natl Snow &amp; Ice Data Ctr, World Data Ctr Glaciol, Boulder, CO 80309 USA.</t>
  </si>
  <si>
    <t>walt@nsidc.org</t>
  </si>
  <si>
    <t>Meier, Walter/AAI-9583-2021</t>
  </si>
  <si>
    <t>Meier, Walter/0000-0003-2857-0550</t>
  </si>
  <si>
    <t>NASA Distributed Active Archive Center; Naval Research Laboratory [N00173-04-P-6210]</t>
  </si>
  <si>
    <t>NASA Distributed Active Archive Center; Naval Research Laboratory(United States Department of Defense)</t>
  </si>
  <si>
    <t>AMSR-E and ICESal/GLAS data were obtained from the US National Snow and Ice Data Center (NSIDC). This research was supported by the NASA Distributed Active Archive Center and the Naval Research Laboratory, grant No. N00173-04-P-6210. Thanks to T. Arbetter of the British Antarctic Survey, and M. Marquis, M. Kaminski, R. Weaver and M. Savoie of NSIDC for their assistance.</t>
  </si>
  <si>
    <t>10.3189/172756406781811286</t>
  </si>
  <si>
    <t>WOS:000246685800054</t>
  </si>
  <si>
    <t>Heil, P; Fowler, CW; Lake, SE</t>
  </si>
  <si>
    <t>Heil, P.; Fowler, C. W.; Lake, S. E.</t>
  </si>
  <si>
    <t>Antarctic sea-ice velocity as derived from SSM/I imagery</t>
  </si>
  <si>
    <t>SOUTHERN-HEMISPHERE; VARIABILITY; EXTENT</t>
  </si>
  <si>
    <t>Sea-ice velocities derived from remotely sensed microwave imagery of the Special Sensor Microwave/Imager (SSM/I) have been analyzed for changes over time in Antarctic sea-ice velocity, for the period 1988-2004. Year-to-year variability in mean Antarctic annual SSM/I-derived ice speed is small (117 year standard deviation (SD) = 0.008 m s(-1)), with greater interannual variability in the zonal (eastward positive) velocity components (117 year SD = 0.016 m s(-1)). Seasonally, minimum ice speed is encountered during summer, when nearly all Antarctic sea ice is within the marginal ice zone. ice motion peaks during winter and spring, due to high velocities encountered in the outer pack of the seasonal sea-ice zone. The correlation (R-2 = 0. 47) between winter Southern Annular Mode (SAM) and mean winter ice speed highlights the importance of atmospheric forcing on sea-ice dynamics. The spatial pattern of the correlation of the standardized SAM index with the June-November ice speed exhibits a wave-3 pattern, which matches the sea-level pressure distribution. Sea-ice speed in the upstream regions of quasi-stationary centres of low sea-level pressure is likely to increase (decrease) during high (low) SAM years, and the opposite for sea-ice speed in the downstream regions of the centres.</t>
  </si>
  <si>
    <t>Heil, P (corresponding author), Australian Antarctic Div, Channel Highway, Kingston, Tas 7050, Australia.</t>
  </si>
  <si>
    <t>10.3189/172756406781811682</t>
  </si>
  <si>
    <t>WOS:000246685800056</t>
  </si>
  <si>
    <t>Hibler, WD; Roberts, A; Heil, P; Proshutinsky, AY; Simmons, HL; Lovick, J</t>
  </si>
  <si>
    <t>Hibler, W. D., III; Roberts, A.; Heil, P.; Proshutinsky, A. Y.; Simmons, H. L.; Lovick, J.</t>
  </si>
  <si>
    <t>Modeling M2 tidal variability in Arctic sea-ice drift and deformation</t>
  </si>
  <si>
    <t>OCEAN MODEL; CLIMATE; SIMULATION; COMPONENT</t>
  </si>
  <si>
    <t>Semi-diurnal oscillations are a ubiquitous feature of polar sea-ice motion. Over much of the Arctic basin, inertial and semi-diurnal tidal variability have similar frequencies so that periodicity alone is inadequate to determine the source of oscillations. We investigate the relative roles of tidal and inertial variability in Arctic sea ice using a barotropic ice-ocean model with sea ice embedded in an upper boundary layer. Results from this model are compared with 'levitated' ice-ocean coupling used in many models. In levitated models the mechanical buoyancy effect of sea ice is neglected so that convergence of ice, for example, does not affect the oceanic Ekman flux. We use rotary spectral analysis to compare simulated and observed results. This helps to interpret the rotation sense of sea-ice drift and deformation at the semi-diurnal period and is a useful discriminator between tidal and inertial effects. Results indicate that the levitated model generates an artificial inertial resonance in the presence of tidal and wind forcing, contrary to the embedded sea-ice model. We conclude that sea-ice mechanics can cause the rotational response of ice motion to change sign even in the presence of strong and opposing local tidal forcing when a physically consistent dynamic ice-ocean coupling is employed.</t>
  </si>
  <si>
    <t>[Hibler, W. D., III; Roberts, A.; Simmons, H. L.; Lovick, J.] Univ Alaska, Int Arctic Res Ctr, POB 757340, Fairbanks, AK 99775 USA; [Heil, P.] Australian Antarctic Div, Kingston, Tas 7050, Australia; [Heil, P.] Univ Tasmania, Antarctic Climate &amp; Ecosyst CRC, Hobart, Tas 7001, Australia; [Proshutinsky, A. Y.] Woods Hole Oceanog Inst, Woods Hole, MA 02543 USA</t>
  </si>
  <si>
    <t>University of Alaska System; University of Alaska Fairbanks; Australian Antarctic Division; University of Tasmania; Woods Hole Oceanographic Institution</t>
  </si>
  <si>
    <t>Roberts, A (corresponding author), Univ Alaska, Int Arctic Res Ctr, POB 757340, Fairbanks, AK 99775 USA.</t>
  </si>
  <si>
    <t>aroberts@iarc.uaf.edu</t>
  </si>
  <si>
    <t>Robert, Andrew/AAT-5089-2021</t>
  </si>
  <si>
    <t>Robert, Andrew/0000-0002-0394-8396; Heil, Petra/0000-0003-2078-0342</t>
  </si>
  <si>
    <t>Japan Agency for Marine- Earth Science and Technology (JAMSTEC); US National Science Foundation; Australian Government's Cooperative Research Centres Programme through the Antarctic Climate and Ecosystems Cooperative Research Centre [ERA-40]</t>
  </si>
  <si>
    <t>Japan Agency for Marine- Earth Science and Technology (JAMSTEC); US National Science Foundation(National Science Foundation (NSF)); Australian Government's Cooperative Research Centres Programme through the Antarctic Climate and Ecosystems Cooperative Research Centre(Australian GovernmentDepartment of Industry, Innovation and ScienceCooperative Research Centres (CRC) Programme)</t>
  </si>
  <si>
    <t>This work was supported by the Japan Agency for Marine- Earth Science and Technology (JAMSTEC), the US National Science Foundation and the Australian Government's Cooperative Research Centres Programme through the Antarctic Climate and Ecosystems Cooperative Research Centre. ERA-40 data were provided courtesy of the ECMWF at their website (http://www.ecmwf.int).</t>
  </si>
  <si>
    <t>10.3189/172756406781811178</t>
  </si>
  <si>
    <t>WOS:000246685800063</t>
  </si>
  <si>
    <t>Foster, AFM; Curran, MAJ; Smith, BT; Van Ommen, TD; Morgan, VI</t>
  </si>
  <si>
    <t>Foster, Annette F. M.; Curran, Mark A. J.; Smith, Barbara T.; Van Ommen, Tas D.; Morgan, Vin I.</t>
  </si>
  <si>
    <t>Covariation of sea ice and methanesul phonic acid in Wilhelm II Land, East Antarctica</t>
  </si>
  <si>
    <t>LAW DOME; SPATIAL VARIABILITY; SOUTHERN-OCEAN; CORE; CLIMATE; ACCUMULATION; EXTENT; GLACIOCHEMISTRY; CHEMISTRY; DECLINE</t>
  </si>
  <si>
    <t>Sea ice plays an important role in ocean-atmosphere heat exchange, global albedo and the marine ecosystem. Knowledge of variation in sea-ice extent is essential in order to understand past climates, and to model possible future climate scenarios. This paper presents results from a short firn core spanning 15 years collected from near Mount Brown, Wilhelm 11 Land, East Antarctica. Variations of methanesulphonic acid (MSA) at Mount Brown were positively correlated with sea-ice extent from the coastal region surrounding Mount Brown (60-120 degrees E) and from around the entire Antarctic coast (0-360 degrees E). Previous results from Law Dome identified this MSA-sea-ice relationship and proposed it as an Antarctic sea-ice proxy (Curran and others, 2003), with the strongest results found for the local Law Dome region. Our data provide supporting evidence for the Law Dome proxy (at another site in East Antarctica), but a deeper Mount Brown ice core is required to confirm the sea-ice decline suggested by Curran and others (2003). Results also indicate that this deeper record may also provide a more circum-Antarctic sea-ice proxy.</t>
  </si>
  <si>
    <t>[Foster, Annette F. M.] Univ Tasmania, Inst Antarctic &amp; Southern Ocean Studies, Private Bag 77, Hobart, Tas 7001, Australia; [Curran, Mark A. J.; Smith, Barbara T.; Van Ommen, Tas D.; Morgan, Vin I.] Australian Govt Antarctic Div, Hobart, Tas 7001, Australia; [Curran, Mark A. J.; Smith, Barbara T.; Van Ommen, Tas D.; Morgan, Vin I.] Antarctic &amp; Climate Ecosyst CRC, Hobart, Tas 7001, Australia</t>
  </si>
  <si>
    <t>University of Tasmania; Australian Antarctic Division; University of Tasmania</t>
  </si>
  <si>
    <t>Foster, AFM (corresponding author), Univ Tasmania, Inst Antarctic &amp; Southern Ocean Studies, Private Bag 77, Hobart, Tas 7001, Australia.</t>
  </si>
  <si>
    <t>mark.curran@utas.edu.au</t>
  </si>
  <si>
    <t>van Ommen, Tas/B-5020-2012</t>
  </si>
  <si>
    <t>van Ommen, Tas/0000-0002-2463-1718</t>
  </si>
  <si>
    <t>Australian Government's Cooperative Research Centres Programme through the Antarctic Climate and Ecosystems Cooperative Research Centre (ACE CRC)</t>
  </si>
  <si>
    <t>Australian Government's Cooperative Research Centres Programme through the Antarctic Climate and Ecosystems Cooperative Research Centre (ACE CRC)(Australian GovernmentDepartment of Industry, Innovation and ScienceCooperative Research Centres (CRC) Programme)</t>
  </si>
  <si>
    <t>This work was supported by the Australian Government's Cooperative Research Centres Programme through the Antarctic Climate and Ecosystems Cooperative Research Centre (ACE CRC).</t>
  </si>
  <si>
    <t>10.3189/172756406781811394</t>
  </si>
  <si>
    <t>WOS:000246685800064</t>
  </si>
  <si>
    <t>Krause, DW; O'Connor, PM; Rogers, KC; Sampson, SD; Buckley, GA; Rogers, RR</t>
  </si>
  <si>
    <t>Krause, David W.; O'Connor, Patrick M.; Rogers, Kristina Curry; Sampson, Scott D.; Buckley, Gregory A.; Rogers, Raymond R.</t>
  </si>
  <si>
    <t>Late Cretaceous terrestrial vertebrates from Madagascar: Implications for Latin American biogeography</t>
  </si>
  <si>
    <t>ANNALS OF THE MISSOURI BOTANICAL GARDEN</t>
  </si>
  <si>
    <t>51st Annual Systematics Symposium of the Missouri-Botanical-Garden</t>
  </si>
  <si>
    <t>OCT 08-10, 2004</t>
  </si>
  <si>
    <t>St Louis, MO</t>
  </si>
  <si>
    <t>biogeography; Cretaceous; Madagascar; South America; vertebrates</t>
  </si>
  <si>
    <t>INDIAN-OCEAN; PACHYCEPHALOSAURID DINOSAUR; NORTHWESTERN MADAGASCAR; STRATIGRAPHIC ANALYSIS; ANTARCTIC PENINSULA; MAEVARANO FORMATION; INTERTRAPPEAN BEDS; PREDATORY DINOSAUR; SAUROPOD DINOSAUR; MAHAJANGA BASIN</t>
  </si>
  <si>
    <t>The Mahajanga Basin Project, initiated in 1993 and centered in Upper Cretaceous strata of northwestern Madagascar, has resulted in the discovery of some of the most complete, well-preserved, and significant specimens of Late Cretaceous vertebrate animals from the Southern Hemisphere and indeed the world. Among the most important finds are various specimens of crocodyliforms, non-avian dinosaurs, and mammals; these finds have the potential to provide key insights into the biogeographic and paleogeographic history of Gondwana. Madagascar has been physically isolated from Africa for over 160 million years and from all other major landmasses for more than 85 million years. The closest known relatives of many of the Late Cretaceous Malagasy taxa are penecontemporancous forms from South America (primarily Argentina) and India, thus documenting a previously unrecognized high level of cosmopolitanism among Gondwanan vertebrates near the end of the Cretaceous. The family-level taxa that are shared among Madagascar, South America, and the Indian subcontinent are not known from penecontemporaneous horizons in mainland Africa, but it cannot yet be confidently determined if this is due to differential extinction, poor sampling, true absence (i.e., the taxa were never present on Africa), or some combination thereof. Nonetheless, currently available geologic and paleontologic data are most consistent with the Africa-first model, suggesting that Africa was the first of the,major Gondwanan landmasses to be fully isolated prior to the Albian/Cenomanian boundary, and that its terrestrial vertebrate faunas became progressively more provincial during the Cretaceous, while those on other Gondwanan landmasses remained relatively cosmopolitan until the later stages of the Late Cretaceous.</t>
  </si>
  <si>
    <t>SUNY Stony Brook, Dept Anat Sci, Stony Brook, NY 11794 USA; Ohio Univ, Dept Biomed Sci, Athens, OH 45701 USA; Sci Museum Minnesota, Paleontol Dept, St Paul, MN 55102 USA; Univ Utah, Dept Geol &amp; Geophys, Salt Lake City, UT 84112 USA; Roosevelt Univ, Evelyn T Stone Univ Coll, Chicago, IL 60605 USA; Macalester Coll, Dept Geol, St Paul, MN 55105 USA; Utah Museum Nat Hist, Salt Lake City, UT 84112 USA</t>
  </si>
  <si>
    <t>State University of New York (SUNY) System; State University of New York (SUNY) Stony Brook; University System of Ohio; Ohio University; Utah System of Higher Education; University of Utah; Roosevelt University; Macalester College</t>
  </si>
  <si>
    <t>Krause, DW (corresponding author), SUNY Stony Brook, Dept Anat Sci, Stony Brook, NY 11794 USA.</t>
  </si>
  <si>
    <t>dkrause@notes.cc.sunysb.edu</t>
  </si>
  <si>
    <t>OConnor, Patrick/I-9383-2012</t>
  </si>
  <si>
    <t>OConnor, Patrick/0000-0002-6762-3806</t>
  </si>
  <si>
    <t>MISSOURI BOTANICAL GARDEN</t>
  </si>
  <si>
    <t>ST LOUIS</t>
  </si>
  <si>
    <t>2345 TOWER GROVE AVENUE, ST LOUIS, MO 63110 USA</t>
  </si>
  <si>
    <t>0026-6493</t>
  </si>
  <si>
    <t>2162-4372</t>
  </si>
  <si>
    <t>ANN MO BOT GARD</t>
  </si>
  <si>
    <t>Ann. Mo. Bot. Gard.</t>
  </si>
  <si>
    <t>10.3417/0026-6493(2006)93[178:LCTVFM]2.0.CO;2</t>
  </si>
  <si>
    <t>077ZV</t>
  </si>
  <si>
    <t>WOS:000240071400002</t>
  </si>
  <si>
    <t>Hooghiemstra, H; Wijninga, VM; Cleef, AM</t>
  </si>
  <si>
    <t>Hooghiemstra, Henry; Wijninga, Vincent M.; Cleef, Antoine M.</t>
  </si>
  <si>
    <t>The paleobotanical record of Colombia: Implications for biogeography and biodiversity</t>
  </si>
  <si>
    <t>51st Annual Systematics Symposium of the Missouri Botanical Garden</t>
  </si>
  <si>
    <t>Andean uplift; biome evolution; Colombia; Espeletiinae; montane forest; Neogene; paramo; phytogeography</t>
  </si>
  <si>
    <t>HIGH-ANDEAN BIOTA; SOUTH-AMERICA; TROPICAL MOUNTAINS; EASTERN-CORDILLERA; NORTHERN ANDES; POLLEN RECORD; RAIN-FOREST; PLIOCENE; QUATERNARY; MONTANE</t>
  </si>
  <si>
    <t>Plant microfossil and macrofossil associations obtained from six dated sections from the area of the basin of Bogota (2550 m, Eastern Cordillera, Colombia) show the evolution of the late Neogene Andean montane forest, triggered by the Andean orogeny. Progressive adaptation of warm tropical taxa to cool montane conditions, evolution of new nootropical montane taxa, and immigration of temperate Laurasian, Holarclic, and Austral-Antarctic elements gave shape to the present-day montane forest. Vegetational characteristics inferred from fossil plant associations reveal the altitude at the time of deposition. Neogene forests are floristically compared with contemporary forests at comparable altitudinal intervals in the surroundings of the Bogota basin; however, the absence of taxa that had not yet arrived, or evolved, is most salient and shows that non-analogue plant communities are common. The main phases of montane forest development are: (1) pre-uplift phase of the late Miocene with abundant lowland taxa with tropical or neotropical affinities (Mauritia Kunth, Amanoa Aubl., Ceiba Miller, and representatives of Humiriaceac); montane forest rich in Podocarpaceae (potentially including Nageia Gaertn., Podocarpus L'Her., Prumnopitys Phil., and Retrophyllum C. N. Page) covered other previously uplifted areas in the region; (2) toward the early Pliocene the area was uplifted to ca. 1000 m; the relative proportion of temperate taxa of North American and southern South American stock increased and occupied the slopes of the low mountains; and (3) by the middle Pliocene uplift had proceeded to ca. 2000-2200 m and tropical lowland taxa, which are now restricted to attitudes below 1000 m, are no longer recorded in the fossil plant associations; the increase in the number of newly appearing montane taxa (Myrica L., Turpinia Vent., Gunnera L., Bacconia L., Gaiadendron G. Don f., Dophnopsis C. Martins, and Monnina Ruiz &amp; Pav.) suggests a significant increase of diversity. Until the late Pliocene there is little to no evidence for the existence of the paramo; taxa such as Xyris L., Hypericum L., Carex L., Montia L., and Ranunculus L. might have formed swamp or bog vegetation only. It is believed that these taxa colonized mountaintops with half-open vegetation; these areas extended when the mountains reached above upper forest line elevations. The distribution areas of the endemic genera of the Espeletiinae largely coincide with the youngest parts (&lt; 5 Ma) of the northern Andes. Changing climatic conditions forced individual plant species to migrate vertically. Composition of plant communities changed continuously and vegetation belts frequently were altitudinally squeezed or offered possibilities for expansion. This long process stimulated speciation and provoked sequential non-analogue vegetation types. Thus, the biodiversity hotspot of the northern Andes has a dynamic history.</t>
  </si>
  <si>
    <t>Univ Amsterdam, IBED, Fac Sci, NL-1098 SM Amsterdam, Netherlands</t>
  </si>
  <si>
    <t>University of Amsterdam</t>
  </si>
  <si>
    <t>Hooghiemstra, H (corresponding author), Univ Amsterdam, IBED, Fac Sci, Kruislaan 318, NL-1098 SM Amsterdam, Netherlands.</t>
  </si>
  <si>
    <t>hooghiemstra@science.uva.nl</t>
  </si>
  <si>
    <t>10.3417/0026-6493(2006)93[297:TPROCI]2.0.CO;2</t>
  </si>
  <si>
    <t>WOS:000240071400008</t>
  </si>
  <si>
    <t>Siddiqui, KS; Cavicchioli, R</t>
  </si>
  <si>
    <t>Siddiqui, Khawar Sohail; Cavicchioli, Ricardo</t>
  </si>
  <si>
    <t>Cold-adapted enzymes</t>
  </si>
  <si>
    <t>ANNUAL REVIEW OF BIOCHEMISTRY</t>
  </si>
  <si>
    <t>Annual Review of Biochemistry</t>
  </si>
  <si>
    <t>enzyme activity; enzyme stability; protein structure; protein flexibility; psychrophile</t>
  </si>
  <si>
    <t>AMINO-ACID-SEQUENCE; ACTIVE CITRATE SYNTHASE; COMPARATIVE MOLECULAR-DYNAMICS; FACTOR 2 PROTEINS; CRYSTAL-STRUCTURE; PSYCHROPHILIC ENZYMES; ALPHA-AMYLASE; ANTARCTIC BACTERIUM; SINGLE-MOLECULE; PSEUDOALTEROMONAS-HALOPLANKTIS</t>
  </si>
  <si>
    <t>By far the largest proportion of the Earth's biosphere is comprised of organisms that thrive in cold environments (psychrophiles). Their ability to proliferate in the cold is predicated on a capacity to synthesize cold-adapted enzymes. These enzymes have evolved a range of structural features that confer a high level of flexibility compared to thermostable homologs. High flexibility, particularly around the active site, is translated into low-activation enthalpy, low-substrate affinity, and high specific activity at low temperatures. High flexibility is also accompanied by a trade-off in stability, resulting in heat lability and, in the few cases studied, cold lability This review addresses the structure, function, and stability of cold-adapted enzymes, highlighting the challenges for immediate and future consideration. Because of the unique properties of cold-adapted enzymes, they are not only an important focus in extremophile biology, but also represent a valuable model for fundamental research into protein folding and catalysis.</t>
  </si>
  <si>
    <t>Siddiqui, KS (corresponding author), Univ New S Wales, Sch Biotechnol &amp; Biomol Sci, Sydney, NSW 2052, Australia.</t>
  </si>
  <si>
    <t>k.siddiqui@unsw.edu.au; r.cavicchioli@unsw.edu.au</t>
  </si>
  <si>
    <t>Cavicchioli, Ricardo/0000-0001-8989-6402; Siddiqui, Khawar/0000-0001-8574-3177</t>
  </si>
  <si>
    <t>ANNUAL REVIEWS</t>
  </si>
  <si>
    <t>PALO ALTO</t>
  </si>
  <si>
    <t>4139 EL CAMINO WAY, PO BOX 10139, PALO ALTO, CA 94303-0139 USA</t>
  </si>
  <si>
    <t>0066-4154</t>
  </si>
  <si>
    <t>1545-4509</t>
  </si>
  <si>
    <t>ANNU REV BIOCHEM</t>
  </si>
  <si>
    <t>Annu. Rev. Biochem.</t>
  </si>
  <si>
    <t>10.1146/annurev.biochem.75.103004.142723</t>
  </si>
  <si>
    <t>074JD</t>
  </si>
  <si>
    <t>WOS:000239807600016</t>
  </si>
  <si>
    <t>Parkinson, CL</t>
  </si>
  <si>
    <t>Parkinson, Claire L.</t>
  </si>
  <si>
    <t>Earth's cryosphere: Current state and recent changes</t>
  </si>
  <si>
    <t>ANNUAL REVIEW OF ENVIRONMENT AND RESOURCES</t>
  </si>
  <si>
    <t>Annual Review of Environment and Resources</t>
  </si>
  <si>
    <t>climate change; glaciers; ice sheets; ice shelves; permafrost; sea ice; sea level rise</t>
  </si>
  <si>
    <t>ARCTIC-SEA-ICE; HEMISPHERE SNOW EXTENT; RECENT CLIMATE-CHANGE; MASS-BALANCE; ANTARCTIC PENINSULA; GLACIER; COVER; VARIABILITY; GREENLAND; SHELF</t>
  </si>
  <si>
    <t>Earth continues to have a third of the ice that it had at the peak of the last ice age, although that ice continues to decrease, as it has, overall, for the past 18,000 years. Over the last 100 years, the retreat signal has been especially strong in ice shelves of the Arctic and along the Antarctic Peninsula, with a more mixed signal elsewhere. For instance, since the early 1990s, the massive Greenland and Antarctic ice sheets have thinned along the coasts but thickened in the interior, and since the late 1970s, sea ice has decreased in the Arctic but increased (slightly) in the Antarctic. Major difficulties in the interpretations of the climate record come from the high interannual variability of most cryosphere components and the lack of consistent long-term global data records; the latter problem is now being slowly remedied, in part, through satellite technology.</t>
  </si>
  <si>
    <t>NASA Goddard Space Flight Ctr, Cryospher Sci Branch, Greenbelt, MD 20771 USA</t>
  </si>
  <si>
    <t>Parkinson, CL (corresponding author), NASA Goddard Space Flight Ctr, Cryospher Sci Branch, Code 614-1, Greenbelt, MD 20771 USA.</t>
  </si>
  <si>
    <t>Parkinson, Claire L/E-1747-2012; Parkinson, Claire/JAC-7676-2023</t>
  </si>
  <si>
    <t>Parkinson, Claire L/0000-0001-6730-4197; Parkinson, Claire/0000-0001-6730-4197</t>
  </si>
  <si>
    <t>1543-5938</t>
  </si>
  <si>
    <t>ANNU REV ENV RESOUR</t>
  </si>
  <si>
    <t>Annu. Rev. Environ. Resour.</t>
  </si>
  <si>
    <t>10.1146/annurev.energy.31.041105.095552</t>
  </si>
  <si>
    <t>Environmental Sciences; Environmental Studies</t>
  </si>
  <si>
    <t>Book Citation Index – Social Sciences &amp; Humanities (BKCI-SSH); Book Citation Index – Science (BKCI-S); Science Citation Index Expanded (SCI-EXPANDED); Social Science Citation Index (SSCI)</t>
  </si>
  <si>
    <t>109QZ</t>
  </si>
  <si>
    <t>WOS:000242324900003</t>
  </si>
  <si>
    <t>Ford, AB</t>
  </si>
  <si>
    <t>Futterer, DK; Damaske, D; Kleinschmidt, G; Miller, H; Tessensohn, F</t>
  </si>
  <si>
    <t>The road to Gondwana via the early SCAR symposia</t>
  </si>
  <si>
    <t>Antarctica: Contributions to Global Earth Sciences</t>
  </si>
  <si>
    <t>9th International Symposium on Antarctic Earth Sciences</t>
  </si>
  <si>
    <t>SEP 08-12, 2003</t>
  </si>
  <si>
    <t>Potsdam Univ, Potsdam, GERMANY</t>
  </si>
  <si>
    <t>Potsdam Univ</t>
  </si>
  <si>
    <t>Denali Assoc, Menlo Pk, CA 94025 USA</t>
  </si>
  <si>
    <t>Ford, AB (corresponding author), Denali Assoc, 400 Ringwood Ave, Menlo Pk, CA 94025 USA.</t>
  </si>
  <si>
    <t>SPRINGER-VERLAG BERLIN</t>
  </si>
  <si>
    <t>BERLIN</t>
  </si>
  <si>
    <t>HEIDELBERGER PLATZ 3, D-14197 BERLIN, GERMANY</t>
  </si>
  <si>
    <t>3-540-30673-0</t>
  </si>
  <si>
    <t>10.1007/3-540-32934-X_1</t>
  </si>
  <si>
    <t>BEB93</t>
  </si>
  <si>
    <t>WOS:000236632500001</t>
  </si>
  <si>
    <t>Lüdecke, C</t>
  </si>
  <si>
    <t>Exploring the unknown:: History of the first German South Polar expedition 1901-1903</t>
  </si>
  <si>
    <t>At the end of the 19(th) century the South Pole region was still terra incognita. Thus a resolution to promote geographical exploration of the Antarctic Regions was passed by VIth International Geographical Congress in London in 1895. Besides political rivalry, a scientific collaboration was adopted during the VIIth International Geographical Congress in Berlin in 1899. The field of work in Antarctica was divided into four quadrants assigning the Weddell and Enderby quadrants to Germany and the Ross and Victoria quadrants to England. Erich von Drygalski (1865-1949), who already had lead two expeditions to the west coast of Greenland (1891, 1892-1893), became leader of the Deutsche Sudpolarexpedition (1901-1903). The expedition with the newly built first German polar research vessel Gauss was financed by the Imperial internal budget. Finally expeditions from Germany, England, Sweden, Scotland, and France took part in the international meteorological and magnetic co-operation. Unfortunately the Gauss was beset by ice close to the Antarctic-Circle 85 km off the ice-covered coast of Kaiser Willhelm II. Land, where a winter station was established on sea ice. After 50 weeks of captivity the ship came free and finally sailed home. Emperor Wilhelm II was very disappointed about Drygalski's results, because Robert Falcon Scott (1868-1912) had reached 82 degrees S at the same time. Geographical achievements seemed to be much more valuable than thoroughly measured scientific data, which were to be analyzed and published over three decades.</t>
  </si>
  <si>
    <t>Lüdecke, C (corresponding author), Valleystr 40, D-81371 Munich, Germany.</t>
  </si>
  <si>
    <t>10.1007/3-540-32934-X_2</t>
  </si>
  <si>
    <t>WOS:000236632500002</t>
  </si>
  <si>
    <t>Funaki, M; Dolinsky, P; Ishikawa, N; Yamazaki, A</t>
  </si>
  <si>
    <t>Characteristics of metamorphosed banded iron formation and its relation to the magnetic anomaly in the Mt. Riiser-Larsen area, Amundsen Bay, Enderby Land, Antarctica</t>
  </si>
  <si>
    <t>ANTARCTICA: CONTRIBUTIONS TO GLOBAL EARTH SCIENCES</t>
  </si>
  <si>
    <t>The characteristics of the metamorphosed banded iron formation (meta-BIF) in the Mt. Riiser-Larsen area, Amundsen Bay, Enderby Land, Antarctica were investigated in order to understand why a large magnetic anomaly appeared in this region. The study found many meta-BIF layers, consisting of one to nine layers within 30 m thickness in felsic gneiss. The thicknesses of individual layers were usually 0.5-2 m but sometimes varied from zero to 6 m. Almost all strong magnetic anomalies reported by Dolinsky et al.(2002) could be explained by the magnetization of the meta-BIF layers. To explain the source of the magnetic anomaly, the natural remanent magnetization of meta-BIF and its susceptibility are taken in to account. The largest layer including meta-BIF is estimated to be more than 7400 x 213 m. Magnetite in the layer was examined by thermomagnetic, magnetic hysteresis and microscopic analyses. The results indicated that almost pure magnetite with pseudosingle-domain (PSD) and multi-domain structure is the dominant composition of meta-BIF as well as quartz. The PSID magnetite grains were along the quartz crystal boundaries and formed a network structure. The electric conductivity of the meta-BIF is explained by this network structure rather than being due to the high magnetite concentration.</t>
  </si>
  <si>
    <t>Natl Inst Polar Res, 9-10 Kaga 1 Itabashi, Tokyo 1738515, Japan; Kyoto Univ, Kyoto 6068501, Japan; Meteorol Res Inst, Tsukuba, Ibaraki 3050052, Japan; Geophys Inst Slovak Acad Sci, Hurbanovo 94701, Slovakia</t>
  </si>
  <si>
    <t>Research Organization of Information &amp; Systems (ROIS); National Institute of Polar Research (NIPR) - Japan; Kyoto University; Meteorological Research Institute - Japan</t>
  </si>
  <si>
    <t>Funaki, M (corresponding author), Natl Inst Polar Res, 9-10 Kaga 1 Itabashi, Tokyo 1738515, Japan.</t>
  </si>
  <si>
    <t>10.1007/3-540-32934-X_3</t>
  </si>
  <si>
    <t>WOS:000236632500003</t>
  </si>
  <si>
    <t>Kawasaki, T; Motoyoshi, Y</t>
  </si>
  <si>
    <t>Experimental constraints on the decompressional paths of Rundvagshetta granulites, Lutzow-Holm Complex, East Antarctica</t>
  </si>
  <si>
    <t>EVOLUTION; ALUMINUM</t>
  </si>
  <si>
    <t>High-pressure experiments were carried out at pressures 7-15 kbar and temperatures 850-1150 degrees C using the piston cylinder apparatus. Experimental data give constraints on the P-T path of sillimanite-cordierite-sapphirine granulites from Rundvagshetta, Lutzow-Holm Complex, East Antarctica. Combining the previous temperature estimates and the present data, we can infer that the Rundvagshetta granulites experienced the peak metamorphism at 925-1039 degrees C and 11.5-15 kbar within the stability field of garnet, orthopyroxene, sapphirine and sillimanite. Subsequent retrograde metamorphism took place at 824-1010 degrees C and 6.5-10.8 kbar accompanied by breakdown of garnet and consumption of orthopyroxene and sillimanite within the stability field of orthopyroxene, sapphirine, spinel and cordierite.</t>
  </si>
  <si>
    <t>Ehime Univ, Fac Sci, Dept Earth Sci, Bunkyo Cho 2-5, Matsuyama, Ehime 7908577, Japan; Natl Inst Polar Res, Tokyo 1738515, Japan</t>
  </si>
  <si>
    <t>Ehime University; Research Organization of Information &amp; Systems (ROIS); National Institute of Polar Research (NIPR) - Japan</t>
  </si>
  <si>
    <t>Ehime Univ, Fac Sci, Dept Earth Sci, Bunkyo Cho 2-5, Matsuyama, Ehime 7908577, Japan.</t>
  </si>
  <si>
    <t>toshkawa@sci.ehime-u.ac.jp; motoyosi@nipr.ac.jp</t>
  </si>
  <si>
    <t>10.1007/3-540-32934-X_4</t>
  </si>
  <si>
    <t>WOS:000236632500004</t>
  </si>
  <si>
    <t>Baba, S; Owada, M; Grew, ES; Shiraishi, K</t>
  </si>
  <si>
    <t>Sapphirine-orthopyroxene-garnet granulite from Schirmacher Hills, central Dronning Maud Land</t>
  </si>
  <si>
    <t>SILLIMANITE-QUARTZ ASSEMBLAGES; EAST ANTARCTICA; SYSTEM FEO-MGO-AL2O3-SIO2; METAMORPHISM; EVOLUTION; GONDWANA; HISTORY; EVENTS; PATHS; GRADE</t>
  </si>
  <si>
    <t>A third locality of sapphirine granulite was discovered in the Schirmacher Hills,central Dronning Maud Land,East Antarctica; one unique for the association with orthopyroxene and garnet. Sapphirine occurs as inclusions together with orthopyroxene within garnet and as discrete grains together with spinel, secondary orthopyroxene in cordierite coronas. Orthopyroxene porphyroblasts have the highest Al2O3 contents (similar to 10 wt.-%) so far reported from Dronning Maud Land. The earlier of two metamorphic stages inferred for the sapphirine-bearing granulite is characterized by breakdown of sapphirine and orthopyroxene to form garnet at peak conditions approaching 950-1050 degrees C and 9-10 kbar.The later stage is decompression when spinel-cordierite-orthopyroxene formed at about 950-980 degrees C and 8 kbar.The age of the ultrahigh-temperature event could be ca. 1.15 Ga, somewhat older than the late Mesoproterozoic granulite-facies event elsewhere in central Dronning Maud Land. Metamorphic temperatures estimated to exceed 900 degrees C imp that the tectonothermal regime in the Schirmacher Hills was distinct and could be critical in determining relationships between central Dronning Maud Land and metamorphic belts in southern Africa and in understanding the evolution of Rodinia and Gondwana.</t>
  </si>
  <si>
    <t>Univ Ryukyus, Dept Nat Environm, Senbaru 1, Nishihara, Okinawa 9030213, Japan; Yamaguchi Univ, Dept Earth Sci, Yamaguchi 7538512, Japan; Univ Maine, Dept Earth Sci, Orono, ME 04469 USA; Natl Inst Polar Res, Dept Crustal Studies, Tokai, Ibaraki, Japan</t>
  </si>
  <si>
    <t>University of the Ryukyus; Yamaguchi University; University of Maine System; University of Maine Orono; Research Organization of Information &amp; Systems (ROIS); National Institute of Polar Research (NIPR) - Japan</t>
  </si>
  <si>
    <t>Baba, S (corresponding author), Univ Ryukyus, Dept Nat Environm, Senbaru 1, Nishihara, Okinawa 9030213, Japan.</t>
  </si>
  <si>
    <t>Baba, Sotaro/H-3107-2013; Baba, Sotaro/HGU-7234-2022; Baba, Sotaro/AGX-7968-2022</t>
  </si>
  <si>
    <t>Baba, Sotaro/0000-0003-2969-9575; Baba, Sotaro/0000-0003-2969-9575; Baba, Sotaro/0000-0003-2969-9575</t>
  </si>
  <si>
    <t>10.1007/3-540-32934-X_5</t>
  </si>
  <si>
    <t>WOS:000236632500005</t>
  </si>
  <si>
    <t>D'Souza, MJ; Prasad, AVK; Ravindra, R</t>
  </si>
  <si>
    <t>Genesis of ferropotassic A-type granitoids of Muhlig-Hofmannfjella, central Dronning Maud Land, East Antarctica</t>
  </si>
  <si>
    <t>PAN-AFRICAN; GEOCHEMISTRY; ROCKS; DISCRIMINATION; CLASSIFICATION; PETROLOGY; DIAGRAMS; EVENTS</t>
  </si>
  <si>
    <t>Ferrosilite-fayalite bearing charnockite and biotite-hornblende bearing granite are exposed in Muhlig-Hofmannfjella, central Dronning Maud Land of East Antarctica. Both are interpreted as essentially parts of a single pluton in spite of their contrasting mineral assemblages. Based on petrologic and geochemical studies, it is proposed that H2O-undersaturated parent magma with igneous crustal component that fractionated under different oxygen fugacity conditions resulted in the Muhlig-Hofmannfjella granitoids.</t>
  </si>
  <si>
    <t>Geol Survey India, Antarctic Div, Faridabad, India</t>
  </si>
  <si>
    <t>Geological Survey India</t>
  </si>
  <si>
    <t>Geol Survey India, Antarctic Div, Faridabad, India.</t>
  </si>
  <si>
    <t>antgsi@vsnl.net; antgsi@vsnl.net</t>
  </si>
  <si>
    <t>10.1007/3-540-32934-X_6</t>
  </si>
  <si>
    <t>WOS:000236632500006</t>
  </si>
  <si>
    <t>Engvik, AK; Elvevold, S</t>
  </si>
  <si>
    <t>Late Pan-African fluid infiltration in the Muhlig-Hofmann- and Filchnerfjella of central Dronning Maud Land, East Antarctica</t>
  </si>
  <si>
    <t>GRADE; ROCK; DEFORMATION</t>
  </si>
  <si>
    <t>The nunataks of Muhlig-Hofmannfjella and Filchnerfjella in central Dronning Maud Land, East Antarctica, comprise a deep-seated metamorphic-plutonic rock complex, dominated by a dark colour due to dark feldspar and containing granulite facies minerals including perthite, plagioclase, orthopyroxene and garnet. The area was affected by a late Pan-African fluid infiltration outcropping as conspicuous light alteration zones restricted to halos around thin granitoid veins. The veins were formed during infiltration of volatile-rich melts, probably originating from underlying magma-chambers. The alteration halos were formed by CO2-H2O-Volatiles emanating from the veins into the host rock causing hydration of the granulite facies assemblages. The alteration involves a breakdown of orthopyroxene to biotite and sericitisation of plagioclase at crustal conditions around 350-400 degrees C and 2 kbar. The marked colour change is caused by transformation of feldspars, spread of dusty micas, opaques and fluid inclusions in addition to replacement of coarse to finer grains. The process is locally penetrative indicating that fluid infiltration can affect large rock volumes. The frequent distribution of alteration zones throughout the mountain range independent of lithological variations shows that the fluid infiltration is regionally extensive.</t>
  </si>
  <si>
    <t>Geol Survey Norway, N-7491 Trondheim, Norway; Norwegian Polar Res Inst, N-9296 Tromso, Norway</t>
  </si>
  <si>
    <t>Geological Survey of Norway; Norwegian Polar Institute</t>
  </si>
  <si>
    <t>Geol Survey Norway, N-7491 Trondheim, Norway.</t>
  </si>
  <si>
    <t>ane.engvik@geo.ntnu.no; elvevold@npolar.no</t>
  </si>
  <si>
    <t>Norwegian Polar Institute; Norwegian Research Council (NFR); NFR [145569/432]</t>
  </si>
  <si>
    <t>Norwegian Polar Institute; Norwegian Research Council (NFR)(Research Council of Norway); NFR(Research Council of Norway)</t>
  </si>
  <si>
    <t>Fieldwork for this study was carried out during the Norwegian Antarctic Research Expedition 1996/1997 and was financed by the Norwegian Polar Institute and the Norwegian Research Council (NFR).Additional funding from NFR (145569/432 to A. K. E) is gratefully acknowledged.</t>
  </si>
  <si>
    <t>10.1007/3-540-32934-X_7</t>
  </si>
  <si>
    <t>WOS:000236632500007</t>
  </si>
  <si>
    <t>Motoyoshi, Y; Hokada, T; Shiraishi, K</t>
  </si>
  <si>
    <t>Electron microprobe (EMP) dating on monazite from Forefinger Point granulites, East Antarctica: Implication for Pan-African overprint</t>
  </si>
  <si>
    <t>EVOLUTION; COMPLEX; BELT</t>
  </si>
  <si>
    <t>Electron microprobe (EMP) dating on monazite in granulite-facies rocks from Forefinger Point, East Antarctica, yielded dominantages of similar to 500 Ma on matrix monazites. They are associated with secondary cordierite, biotite and sapphirine, formed during nearly isothermal decompression after the high P-Tassemblages involving garnet, orthopyroxene and sillimanite. Older ages around 750-1000 Ma are detected in monazite cores and in monazite inclusions in garnet porphyroblast. Combining the available age data and the reaction textures, it becomes evident that the Forefinger Point granulites have been overprinted by a granulite-facies decompressional event of Pan-African age. Moreover, EMP monazite dating imply that the Forefinger Point granulites have experienced at least two stages of metamorphic evolution.</t>
  </si>
  <si>
    <t>Natl Inst Polar Res, Itabashi Ku, 1-9-10 Kaga, Tokyo 1738515, Japan</t>
  </si>
  <si>
    <t>Motoyoshi, Y (corresponding author), Natl Inst Polar Res, Itabashi Ku, 1-9-10 Kaga, Tokyo 1738515, Japan.</t>
  </si>
  <si>
    <t>mototosi@nipr.ac.jp</t>
  </si>
  <si>
    <t>Hokada, Tomokazu/AAC-7847-2019</t>
  </si>
  <si>
    <t>Japan Society for the Promotion of Science (JSPS) [13440151]; [13640429]; Grants-in-Aid for Scientific Research [13440151] Funding Source: KAKEN</t>
  </si>
  <si>
    <t>Japan Society for the Promotion of Science (JSPS)(Ministry of Education, Culture, Sports, Science and Technology, Japan (MEXT)Japan Society for the Promotion of Science); ; Grants-in-Aid for Scientific Research(Ministry of Education, Culture, Sports, Science and Technology, Japan (MEXT)Japan Society for the Promotion of ScienceGrants-in-Aid for Scientific Research (KAKENHI))</t>
  </si>
  <si>
    <t>This study was supported by a Grant-in-Aid from the Japan Society for the Promotion of Science (JSPS) to K. S. (no. 13440151) and to Yoshifumi Nogi (no. 13640429).</t>
  </si>
  <si>
    <t>10.1007/3-540-32934-X_8</t>
  </si>
  <si>
    <t>WOS:000236632500008</t>
  </si>
  <si>
    <t>Mikhalsky, EV; Laiba, AA; Beliatsky, BV</t>
  </si>
  <si>
    <t>Tectonic subdivision of the Prince Charles Mountains: A review of geologic and isotopic data</t>
  </si>
  <si>
    <t>U-PB GEOCHRONOLOGY; EAST ANTARCTICA; METAVOLCANIC ROCKS; FISHER MASSIF; GEOCHEMISTRY; AGE; GONDWANA; RODINIA; BREAKUP; ORIGIN</t>
  </si>
  <si>
    <t>The Prince Charles Mountains have been subject to extensive geological and geophysical investigations by former Soviet, Russian and Australian scientists from the early 1970s. In this paper we summarise, and review available geological and isotopic data, and report results of new isotopic studies (Sm-Nd, Pb-Pb, and U-Pb SHRIMP analyses); field geological data obtained during the PCMEGA 2002/2003 are utilised. The structure of the region is described in terms of four tectonic terranes. Those include Archaean Ruker, Palaeoproterozoic Lambert, Mesoproterozoic Fisher, and Meso- to Neoproterozoic Beaver Terranes. Pan-African activities (granite emplacement and probably tectonics) in the Lambert Terrane are reported. We present a summary of the composition of these terranes, discuss their origin and relationships. We also outline the most striking geological features, and problems, and try to draw attention to those rocks and regional geological features which are important in understanding the composition and evolution of the PCM and might suggest targets for further investigations.</t>
  </si>
  <si>
    <t>VNIIOkeangeol, Angliysky Ave 1, St Petersburg 190121, Russia; PMGRE, Lomonosov 189510, Russia; IGGP, Petrozavodsk 199034, Russia</t>
  </si>
  <si>
    <t>VNIIOkeangeol, Angliysky Ave 1, St Petersburg 190121, Russia.</t>
  </si>
  <si>
    <t>Mikhalsky, E./I-7556-2013; Belyatsky, Boris/V-6644-2019</t>
  </si>
  <si>
    <t>Belyatsky, Boris/0000-0002-4022-9366</t>
  </si>
  <si>
    <t>10.1007/3-540-32934-X_9</t>
  </si>
  <si>
    <t>WOS:000236632500009</t>
  </si>
  <si>
    <t>Golynsky, AV; Masolov, VN; Volnukhin, VS; Golynsky, DA</t>
  </si>
  <si>
    <t>Crustal provinces of the Prince Charles Mountains region and surrounding areas in the light of aeromagnetic data</t>
  </si>
  <si>
    <t>EAST ANTARCTIC SHIELD; GEOLOGICAL RELATIONSHIPS; LARSEMANN-HILLS; PRYDZ BAY; GONDWANA; TECTONICS; EVOLUTION; ROCKS; LAND; CONSTRAINTS</t>
  </si>
  <si>
    <t>The aeromagnetic data of the Lambert Glacier-Prince Charles Mountains area provide a rather complex but surprisingly coherent image for studying the geology and tectonic history of this region. Several distinct structural units can be differentiated in the magnetic anomaly data. The aeromagnetic data from the Prince Charles Mountains and surrounding areas reveal the spatial boundaries of the Archaean cratons at the Prince Charles Mountains and Vestfold-Rauer areas and suggest the existence of a previously unknown craton in Princess Elizabeth Land. The magnetic data differentiate the inner structure of the Beaver-Rayner Proterozoic mobile belt and the complex marginal belt of the Archaean cratons reworked by Mesoproterozoic to Neoproterozoic tectonism. The aeromagnetic data clearly indicate no obvious link of the Pan-African mobile belt in Prydz Bay with Lutzow-Holm Bay, and provide no evidence that it extends inland towards the Mawson Escarpment or Grove Mountains. Thus, East Gondwana probably was not divided into Indo-Antarctic and Australo-Antarctic sectors as suggested by a number of recent studies.</t>
  </si>
  <si>
    <t>VNIIOkeangeol, Angliysky Ave 1, St Petersburg 190121, Russia; PMGRE, Lomonosov 189510, Russia; SPBSU, St Petersburg 19903, Russia</t>
  </si>
  <si>
    <t>Golynsky, AV (corresponding author), VNIIOkeangeol, Angliysky Ave 1, St Petersburg 190121, Russia.</t>
  </si>
  <si>
    <t>sasha@vniio.nw.ru</t>
  </si>
  <si>
    <t>Golynsky, Alexander/0000-0003-2546-4082</t>
  </si>
  <si>
    <t>10.1007/3-540-32934-X_10</t>
  </si>
  <si>
    <t>WOS:000236632500010</t>
  </si>
  <si>
    <t>Golynsky, AV; Golynsky, DA; Masolov, VN; Volnukhin, VS</t>
  </si>
  <si>
    <t>Magnetic anomalies of the Grove Mountains region and their geological significance</t>
  </si>
  <si>
    <t>PRINCE-CHARLES-MOUNTAINS; EAST ANTARCTIC SHIELD; PRYDZ BAY; GONDWANA; EVENTS; HILLS; BELT; AREA</t>
  </si>
  <si>
    <t>The geology of the Grove Mountains is poorly known. The magnetic anomalies of the Grove Mountains and surrounding areas are characterized by a prominent NE-SW to E-W fabric. Well defined magnetic anomalies along its periphery with the absence of intensive magnetic anomalies in the north are a distinctive feature of this region. The obliqueness of magnetic anomalies along the study area's boundary with respect to its central part suggests that the northern Grove Mountains basement may be much older crust than the neighboring terranes of Meso- to early Neoproterozoic high-grade metamorphic rocks. The existence of two ancient cratonic blocks in the southern Prince Charles Mountains and Vestfold Hills suggests that this region may contain Archaean or Paleoproterozoic crust. The Grove Mountains crustal block is clearly discernible in the aeromagnetic data and can be considered as a region that underwent Grenvillian and/or Pan-African or both tectonism and reworking. The absence of any visible magnetic trends running towards the Prydz Bay coast or central part of the Mawson Escarpment precludes any direct tectonic correlation with these regions.</t>
  </si>
  <si>
    <t>VNIIOkeangeol, Angliysky Ave 1, St Petersburg 190121, Russia; Spbsu, St Petersburg 190121, Russia; PMGRE, Lomonosov 189510, Russia</t>
  </si>
  <si>
    <t>Saint Petersburg State University</t>
  </si>
  <si>
    <t>10.1007/3-540-32934-X_11</t>
  </si>
  <si>
    <t>WOS:000236632500011</t>
  </si>
  <si>
    <t>Golynsky, A; Chiappini, M; Damaske, D; Ferraccioli, F; Finn, CA; Ishihara, T; Kim, HR; Kovacs, L; Masolov, VN; Morris, P; von Frese, R</t>
  </si>
  <si>
    <t>ADMAP -A digital magnetic anomaly map of the Antarctic</t>
  </si>
  <si>
    <t>TRANSANTARCTIC MOUNTAINS; VICTORIA LAND; WEDDELL SEA; ROSS SEA; GONDWANA</t>
  </si>
  <si>
    <t>For a number of years the multi-national ADMAP working group has been compiling near surface and satellite magnetic data in the region south of 60 degrees S. By the end of 2000, a 5 km grid of magnetic anomalies was produced for the entire region. The map readily portrays the first-order magnetic differences between oceanic and continental regions. The magnetic anomaly pattern over the continent reflects many phases of geological history whilst that over the abyssal plains of the surrounding oceans is dominated mostly by patterns of linear seafloor spreading anomalies and fracture zones. The Antarctic compilation reveals terranes of varying ages, including Proterozoic-Archaean cratons, Proterozoic-Palaeozoic mobile belts, Palaeozoic-Cenozoic magmatic arc systems and other important crustal features. The map delineates intra-continental rifts and major rifts along the Antarctic continental margin, the regional extent of plutons and volcanics, such as the Ferrar dolerites and Kirkpatrick basalts. The magnetic anomaly map of the Antarctic together with other geological and geophysical information provides new perspectives on the break-up of Gondwana and Rodinia evolution.</t>
  </si>
  <si>
    <t>VNIIOkeangeol, Angliysky Ave 1, St Petersburg 190121, Russia; INGV, I-00143 Rome, Italy; BGR, D-30655 Hannover, Germany; Univ Genoa, DIPTERIS, I-16132 Genoa, Italy; US Geol Survey, Denver 80255, CO USA; Geol Survey Japan, Tsukuba, Ibaraki 305, Japan; Ohio State Univ, Columbus, OH 43210 USA; NRL, Washington, DC 20375 USA; PMGRE, Lomonosov 189510, Russia; British Antarctic Survey, High Cross, Cambridge CB3 0ET, England</t>
  </si>
  <si>
    <t>Istituto Nazionale Geofisica e Vulcanologia (INGV); University of Genoa; United States Department of the Interior; United States Geological Survey; University System of Ohio; Ohio State University; United States Department of Defense; United States Navy; Naval Research Laboratory; UK Research &amp; Innovation (UKRI); Natural Environment Research Council (NERC); NERC British Antarctic Survey</t>
  </si>
  <si>
    <t>Finn, Carol A/HKN-9277-2023</t>
  </si>
  <si>
    <t>Finn, Carol A/0000-0002-6178-0405; Golynsky, Alexander/0000-0003-2546-4082</t>
  </si>
  <si>
    <t>10.1007/3-540-32934-X_12</t>
  </si>
  <si>
    <t>WOS:000236632500012</t>
  </si>
  <si>
    <t>Bell, RE; Studinger, M; Karner, G; Finn, CA; Blankenship, DD</t>
  </si>
  <si>
    <t>Identifying major sedimentary basins beneath the West Antarctic ice sheet from aeromagnetic data analysis</t>
  </si>
  <si>
    <t>SUBGLACIAL GEOLOGY; RIFT SYSTEM; ROSS SEA; GRAVITY; STREAM</t>
  </si>
  <si>
    <t>In the Ross Sea, large sedimentary basins reflect primarily the major extensional event associated with the Late Cretaceous breakup of Gondwana. Within the Interior Ross Embayment, no similar large basins have been identified to date. We have used aerogravity and Werner deconvolution methods applied to aeromagnetic data to map depth to magnetic basement, which helped delineate three major sedimentary basins, the Bentley Subglacial, Onset, and Trunk D Basins.</t>
  </si>
  <si>
    <t>Columbia Univ, Lamont Doherty Earth Observ, 61 Route 9W, Palisades, NY 10964 USA; U S Geolog Survey, Denver Federal Ctr, Denver, CO 80225 USA; Univ Texas Austin, Inst Geophys, John A Katherine G Jackson Sch Geosci, Austin, TX 78712 USA</t>
  </si>
  <si>
    <t>Columbia University; University of Texas System; University of Texas Austin</t>
  </si>
  <si>
    <t>Columbia Univ, Lamont Doherty Earth Observ, 61 Route 9W, Palisades, NY 10964 USA.</t>
  </si>
  <si>
    <t>Finn, Carol A/HKN-9277-2023; Blankenship, Donald D./G-5935-2010</t>
  </si>
  <si>
    <t>Finn, Carol A/0000-0002-6178-0405;</t>
  </si>
  <si>
    <t>U.S. National Science Foundation</t>
  </si>
  <si>
    <t>U.S. National Science Foundation(National Science Foundation (NSF))</t>
  </si>
  <si>
    <t>Funding for this work was provided by the U.S. National Science Foundation.</t>
  </si>
  <si>
    <t>10.1007/3-540-32934-X_13</t>
  </si>
  <si>
    <t>WOS:000236632500013</t>
  </si>
  <si>
    <t>Wilson, DS; Luyendyk, BP</t>
  </si>
  <si>
    <t>Bedrock plateaus within the Ross Embayment and beneath the West Antarctic ice sheet, formed by marine erosion in late tertiary time</t>
  </si>
  <si>
    <t>SEA RIFT</t>
  </si>
  <si>
    <t>Ice penetrating radar (mostly airborne) and marine seismic surveys have revealed plateaus and terraces about 100-350 m below sea level beneath parts of the Ross Embayment including the West Antarctic ice sheet, the Ross Ice Shelf, and the eastern Ross Sea. These surfaces cover many thousands of square kilometers and are separated by bedrock troughs occupied by the West Antarctic ice streams. We interpret these surfaces as remnants of a level surface formed by wave erosion when the coastal regions of Antarctica were relatively free of ice. The flat and level nature of the surfaces that are near the same depth over large distances supports an origin by marine rather than glacial erosion. Marine seismic reflection profiles over one of the plateau remnants show thin, flat-lying glacial marine sediments draped with angular unconformity, over gently dipping sediments of early Miocene age. Ice sheet and global sea level histories suggest that the shallower plateaus were last eroded in the middle Miocene, possibly within a warm interval from about 17 to 14 Ma, prior to formation of the modern West Antarctic ice sheet. The plateau surfaces cannot be directly correlated to Ross Sea unconformities but they may be extensions of similar to 14-Ma unconformity RSU4. The plateaus along the Siple Coast, with depths around 350 m, do not rebound to close to sea level for models of removing past and present ice load. Another possible factor is that western Marie Byrd Land lithosphere was heated in Oligocene time due to substantial extension or intensified mantle plume activity. Subsequent cooling has caused a moderate amount of crustal subsidence since then. These plateaus are similar to the emergent wave cut platforms interrupted by deep fjords, termed strand flats that rim the coasts of Norway.</t>
  </si>
  <si>
    <t>Univ Calif Santa Barbara, Dept Geol Sci, Santa Barbara, CA 93106 USA; Univ Calif Santa Barbara, Marine Sci Inst, Santa Barbara, CA 93106 USA</t>
  </si>
  <si>
    <t>University of California System; University of California Santa Barbara; University of California System; University of California Santa Barbara</t>
  </si>
  <si>
    <t>Univ Calif Santa Barbara, Dept Geol Sci, Santa Barbara, CA 93106 USA.</t>
  </si>
  <si>
    <t>dwilson@geol.ucsb.edu; luyendyk@geol.ucsb.edu</t>
  </si>
  <si>
    <t>U.S. NSF [OPP9615281]</t>
  </si>
  <si>
    <t>U.S. NSF(National Science Foundation (NSF))</t>
  </si>
  <si>
    <t>Supported by U.S. NSF grant OPP9615281</t>
  </si>
  <si>
    <t>10.1007/3-540-32934-X_14</t>
  </si>
  <si>
    <t>WOS:000236632500014</t>
  </si>
  <si>
    <t>Filina, IY; Blankenship, DD; Roy, L; Sen, MK; Richter, TG; Holt, JW</t>
  </si>
  <si>
    <t>Inversion of airborne gravity data acquired over subglacial lakes in East Antarctica</t>
  </si>
  <si>
    <t>VOSTOK</t>
  </si>
  <si>
    <t>Airborne gravity data have been acquired over the two largest subglacial lakes in East Antarctica. 2D inversion of these data was performed for several fixed values of density contrast in order to estimate bathymetry and sediment thickness. For Lake Vostok the best agreement between profiles derived from gravity inversion and seismic soundings is achieved for densities 2.55 g cm(-3) for host rock and 1.85 g cm(-3) for sediment. The result shows a topographic rise of the lake bottom dividing the lake into two sub-basins. Our inversion results suggest that water thickness in Lake Concordia does not exceed 200 m for all possible density contrasts between ice/water and surrounding rock; the sediment layer cannot be resolved.</t>
  </si>
  <si>
    <t>Univ Texas, Dept Geol Sci, John A &amp; Katherine G Jackson Sch Geosci, 1 Univ Stn C1100, Austin, TX 78712 USA; Univ Texas Austin, John A Katherine G Jackson Sch Geosci, Inst Geophys, Austin, TX 78712 USA; Indian Sch Mines, Dept Appl Geophys, Dhanbad 826004, Bihar, India</t>
  </si>
  <si>
    <t>University of Texas System; University of Texas Austin; University of Texas System; University of Texas Austin; Indian Institute of Technology System (IIT System); Indian Institute of Technology (Indian School of Mines) Dhanbad</t>
  </si>
  <si>
    <t>Univ Texas, Dept Geol Sci, John A &amp; Katherine G Jackson Sch Geosci, 1 Univ Stn C1100, Austin, TX 78712 USA.</t>
  </si>
  <si>
    <t>Holt, John W/C-4896-2009; Sen, Mrinal K/B-5426-2011; Sen, Mrinal/G-5938-2010; Blankenship, Donald D./G-5935-2010</t>
  </si>
  <si>
    <t>University of Texas at Austin; U.S. National Science Foundation</t>
  </si>
  <si>
    <t>University of Texas at Austin; U.S. National Science Foundation(National Science Foundation (NSF))</t>
  </si>
  <si>
    <t>This work was supported by the John A. and Katherine G. Jackson School of Geosciences, The University of Texas at Austin and Office of Polar Programs of the U.S. National Science Foundation.</t>
  </si>
  <si>
    <t>10.1007/3-540-32934-X_15</t>
  </si>
  <si>
    <t>WOS:000236632500015</t>
  </si>
  <si>
    <t>Masolov, VN; Popov, SV; Lukin, VV; Sheremetyev, AN; Popkov, AM</t>
  </si>
  <si>
    <t>Russian geophysical studies of Lake Vostok, Central East Antarctica</t>
  </si>
  <si>
    <t>SUBGLACIAL LAKE; ICE-SHEET; STATION; BENEATH</t>
  </si>
  <si>
    <t>Since 1995, Polar Marine Geological Research Expedition has performed the geophysical investigations of Lake Vostok, Central East Antarctica. The study of this phenomenon is carried out by means of radio-echo sounding (RES) and reflection seismic. In total, 3 250 km of RES profiles and 194 seismic measurements have been made. These scientific works resulted in mapping the ice thickness, bedrock and sub-ice topography and the Lake Vostok shoreline. We fixed 195 fragments of grounding line, according to RES data, with 169 of them (86%) being reliable while 26 (14%) are questionable. These results are the base for contouring the lake shore. The water table square estimates at some 17 100 km(2). We also detected 22 small-size subglacial water cavities around the Lake Vostok. Sub-ice topography of the Lake Vostok bottom is divided into two main regions:the deep-water and shallow-water basins. The first one with depths from about -1700 to -800 m is located in the southern part of the lake. We assume its northern part to be shallow-water with the bottom depth of about -940 m.</t>
  </si>
  <si>
    <t>Polar Marine Geol Res Expedit, 24 Pobeda St, St Petersburg 188512, Russia; Rissian Antarctic Expedition RAE, St Petersburg 188512, Russia</t>
  </si>
  <si>
    <t>Polar Marine Geol Res Expedit, 24 Pobeda St, St Petersburg 188512, Russia.</t>
  </si>
  <si>
    <t>Popov, Sergey V./I-2319-2013; Popov, Sergey/IYJ-2371-2023</t>
  </si>
  <si>
    <t>Popov, Sergey V./0000-0002-1830-8658; Popov, Sergey/0000-0002-1830-8658</t>
  </si>
  <si>
    <t>10.1007/3-540-32934-X_16</t>
  </si>
  <si>
    <t>WOS:000236632500016</t>
  </si>
  <si>
    <t>Popov, SV; Lastochkin, AN; Masolov, VN; Popkov, AM</t>
  </si>
  <si>
    <t>Morphology of the subglacial bed relief of Lake Vostok Basin area (Central East Antarctica) based on RES and seismic data</t>
  </si>
  <si>
    <t>ICE-CORE; STATION</t>
  </si>
  <si>
    <t>During the austral summer field seasons of the 1995-2004 Polar Marine Geological Research Expedition (PMGRE) within the frame of the Russian Antarctic Expedition (RAE) carried out ground-based geophysical investigations in the sub-glacial Lake Vostokarea in order to study the ice sheet and bed relief. Geomorphological analysis of the data allowed better understanding of sub-ice and sub-water structures. The most striking structure is the Vostok Basin which subdivides into five main substructures: lake plane,deep water hollow, sub-water ridges, internal and external slopes. We detected six principal morphological substructures outside the Vostok Basin: lowlands, low hilly planes, high planes, ridged plane, Komsomolskiye Mountains and middle mountain land. A geomorphological chart has been produced.</t>
  </si>
  <si>
    <t>Polar Marine Geol Res Expedit, 24 Pobeda Str, St Petersburg 188512, Russia; St Peterburg state Univ SPSU, St Petersburg 188512, Russia</t>
  </si>
  <si>
    <t>Polar Marine Geol Res Expedit, 24 Pobeda Str, St Petersburg 188512, Russia.</t>
  </si>
  <si>
    <t>Popov, Sergey/IYJ-2371-2023; Popov, Sergey V./I-2319-2013</t>
  </si>
  <si>
    <t>Popov, Sergey/0000-0002-1830-8658; Popov, Sergey V./0000-0002-1830-8658</t>
  </si>
  <si>
    <t>10.1007/3-540-32934-X_17</t>
  </si>
  <si>
    <t>WOS:000236632500017</t>
  </si>
  <si>
    <t>Yamashita, M; Miyamachi, H; Kanao, M; Matsushima, T; Toda, S; Takada, M; Watanabe, A</t>
  </si>
  <si>
    <t>Deep reflection imaging beneath the Mizuho Plateau, East Antarctica, by SEAL-2002 seismic experiment</t>
  </si>
  <si>
    <t>A seismic exploration was conducted on the Mizuho Plateau, East Antarctica, during the 2001/2002 austral summer season as the Structure and Evolution of the East Antarctic Lithosphere (SEAL)project by the 43(rd) Japanese Antarctic Research Expedition (JARE-43). The survey line of this exploration (SEAL-2002 profile) was almost perpendicular to the Mizuho inland traverse routes (JARE-41 refraction survey line; SEAL-2000) and was almost parallel to the coastal line along the Lutzow-Holm Bay. Several seismic shot records were obtained with clear arrivals of phases until a distance of 150 km in length. We have analyzed two shot data of both ends of the SEAL2002 profile by using the conventional reflection method. Interval velocities were estimated by applying the normal-move-out (NMO) correction, then the obtained single-fold section obtained explicitly presents the horizontal reflectors originated from the middle crust, the lower crust and the Moho discontinuity. First, the reflector from the top of the middle crust was located at the depth of 23-24 km, which was corresponding to 8-9 s of two way travel time (TWT) in the single-fold section. Next, the reflector from the top of the lower crust was located at a depth of 31-34 km, corresponding to 11-12 s of TWT. The Moho reflector was observed in 13-14 s of TVVT and the depth was estimated to be approximately 41-42 km.</t>
  </si>
  <si>
    <t>Grad Univ Adv Studies, Dept Polar Sci, Itabashi Ku, 1-9-10 Kaga, Tokyo 1738515, Japan; Kagoshima Univ, Fac Sci, Kagoshima 890, Japan; Natl Inst Polar Res, Tokyo, Japan; Kyungsung Univ, Inst Seismol Volcanol, Fac Sci, Shimabara 855, Japan; Aichi Univ Educ, Fac Educ, Dept Earth Sci, Aichi, Japan; Hokkaido Univ, Inst Seismol Volcanol, Grad Sch Sci, Sapporo, Hokkaido, Japan; Kyushu Univ, Grad Sch Sci, Dept Earth &amp; Planetary Sci, Fukuoka 812, Japan</t>
  </si>
  <si>
    <t>Graduate University for Advanced Studies - Japan; Kagoshima University; Research Organization of Information &amp; Systems (ROIS); National Institute of Polar Research (NIPR) - Japan; Aichi University Education; Hokkaido University; Kyushu University</t>
  </si>
  <si>
    <t>Yamashita, M (corresponding author), Grad Univ Adv Studies, Dept Polar Sci, Itabashi Ku, 1-9-10 Kaga, Tokyo 1738515, Japan.</t>
  </si>
  <si>
    <t>kanao@nipr.ac.jp</t>
  </si>
  <si>
    <t>10.1007/3-540-32934-X_18</t>
  </si>
  <si>
    <t>WOS:000236632500018</t>
  </si>
  <si>
    <t>Pondrelli, S; Margheriti, L; Danesi, S</t>
  </si>
  <si>
    <t>Seismic anisotropy beneath Northern Victoria Land from SKS splitting analysis</t>
  </si>
  <si>
    <t>ANTARCTIC RIFT SYSTEM; MANTLE DEFORMATION; ROSS EMBAYMENT; WEST; STATIONS; GEOSCOPE; REGION; PLATE</t>
  </si>
  <si>
    <t>Teleseismic data recorded by temporary and permanent stations located in the Northern Victoria Land region are analysed in order to identify the presence and location of seismic anisotropy. We work on data recorded by 24 temporary seismographic stations deployed between 1993 and 2000 in different zones of the Northern Victoria Land, and by the permanent very broad-band station TNV located near the Italian Base M. Zucchelli The temporary networks monitored an area extending from Terra Nova Bay towards the South beyond the David Glacier and up to the Indian Ocean northward. To better constrain our study, we also provide an analysis of data recorded by TNV in the same period of time and we take into account also SKS shear wave splitting measurements performed by Barruol and Hoffman (1999) on data recorded by DRV. This study, to be considered as preliminary, reveals the presence of seismic anisotropy below the study region, with a mainly NW-SE fast velocity direction below the Terra Nova Bay area and rather large delay times, that mean a deep rooted anisotropic layer.</t>
  </si>
  <si>
    <t>Ist Nazl Geofis &amp; Vulcanol, Via D Creti 12, I-40128 Bologna, Italy; Ist Nazl Geofis &amp; Vulcanol, Rome, Italy</t>
  </si>
  <si>
    <t>Istituto Nazionale Geofisica e Vulcanologia (INGV); Istituto Nazionale Geofisica e Vulcanologia (INGV)</t>
  </si>
  <si>
    <t>Ist Nazl Geofis &amp; Vulcanol, Via D Creti 12, I-40128 Bologna, Italy.</t>
  </si>
  <si>
    <t>pondrelli@bo.ingv.it</t>
  </si>
  <si>
    <t>Pondrelli, Silvia/AAY-3155-2020; Margheriti, Lucia/C-7082-2008; Danesi, Stefania/AAA-9000-2021</t>
  </si>
  <si>
    <t>Margheriti, Lucia/0000-0003-3853-254X; Danesi, Stefania/0000-0002-7884-8242</t>
  </si>
  <si>
    <t>10.1007/3-540-32934-X_19</t>
  </si>
  <si>
    <t>WOS:000236632500019</t>
  </si>
  <si>
    <t>Finn, CA; Goodge, JW; Damaske, D; Fanning, CM</t>
  </si>
  <si>
    <t>Scouting Craton's edge in Paleo-Pacific Gondwana</t>
  </si>
  <si>
    <t>TRANSANTARCTIC MOUNTAINS; EAST ANTARCTICA; AUSTRALIA; CONSTRAINTS; CRUSTAL; MARGIN; LAURENTIA; GRAVITY; HISTORY; BLOCKS</t>
  </si>
  <si>
    <t>The geology of the ice-covered interior of the East Antarctic shield is completely unknown; inferences about its composition and history are based on extrapolating scant outcrops from the coast inland. Although the shield is clearly composite in nature, a large part of its interior has been represented by a single Precambrian block, termed the Mawson block, that includes the Archean-Mesoproterozoic Gawler and Curnamona cratons of Australia. In Australia, the Mawson block is bounded on the east by Neoproterozoic sedimentary rocks and the superimposed early Paleozoic Delamerian Orogen, marked by curvilinear belts of arc plutons, and on the west by the unexposed Coompana block and Mesoproterozoic Albany-Fraser mobile belt. In Antarctica, these crustal elements are inferred to extend across Wilkes Land and south to the Miller Range region. Aero- and satellite magnetic data provide a means to see through the ice, helping to elucidate the broad composition of the shield. Rocks of the Mawson block in Australia produce distinctive magnetic anomalies; Paleoproterozoic granites and Meso- to Neoproterozoic mafic igneous rocks are associated with high-amplitude, broad-wavelength positive aero- and satellite-magnetic anomalies. The same types of magnetic anomalies can be traced to ice-covered Wilkes Land, Antarctica, and are interpreted to signify similar rocks. However, the diagnostic satellite magnetic high ends -800 km south of the Antarctic coast, suggesting that the Mawson block is smaller than first proposed and that the remaining East Antarctic shield is composed of several Precambrian crustal blocks of largely undetermined composition and age. Nonetheless, the coincident eastern borders of these magnetic highs and high seismic-velocity anomalies characteristic of the Precambrian shield, together define the edge of thick cratonic lithosphere. East of this boundary, magnetic lows are explained by magnetite-poor upper Neoproterozoic and lower Paleozoic sedimentary rocks, and their metamorphic equivalents, which crop out discontinuously along the Ross margin of Antarctica and in eastern Australia. These rocks are inferred to overlie a Neoproterozoic rift margin, which transects older basement provinces. The coincidence of this cratonic rift boundary with the western limit of Paleozoic and Jurassic magmatism suggests that, although tectonically modified by younger events, the composite Antarctic-Australian shield comprised thick lithosphere that was not penetrated by Paleozoic and younger convergent-margin magmas.</t>
  </si>
  <si>
    <t>US Geol Survey, Denver Fed Ctr, MS 945, Denver, CO 80226 USA; Univ Minnesota, Dept Geol Sci, Duluth, MN USA; Bundesanstalt Geowissensch &amp; Rohstoffe, Hannover, Germany; Australian Natl Univ, Res Sch Earth Sci, Canberra, ACT, Australia</t>
  </si>
  <si>
    <t>United States Department of the Interior; United States Geological Survey; University of Minnesota System; University of Minnesota Duluth; Australian National University</t>
  </si>
  <si>
    <t>US Geol Survey, Denver Fed Ctr, MS 945, Denver, CO 80226 USA.</t>
  </si>
  <si>
    <t>Finn, Carol A/HKN-9277-2023; Fanning, C. Mark/I-6449-2016; Goodge, John/GQI-3878-2022</t>
  </si>
  <si>
    <t>National Science Foundation [OPP-0232042]; U.S. Geological Survey</t>
  </si>
  <si>
    <t>National Science Foundation(National Science Foundation (NSF)); U.S. Geological Survey(United States Geological Survey)</t>
  </si>
  <si>
    <t>We thank Sergei Pisarevsky for rotating the magnetic data into their SWEAT configurations. Helpful reviews by Fausto Ferraccioli, Ian Fitzsimons, Bob Kucks and Anne McCafferty greatly improved the manuscript. CAFs work was funded by National Science Foundation Grant OPP-0232042 and U.S. Geological Survey. JWGs work was funded by National Science Foundation Grant OPP-0232042.</t>
  </si>
  <si>
    <t>10.1007/3-540-32934-X_20</t>
  </si>
  <si>
    <t>WOS:000236632500020</t>
  </si>
  <si>
    <t>Kleinschmidt, G; Läufer, AL</t>
  </si>
  <si>
    <t>The Matusevich fracture zone in Oates Land, East Antarctica</t>
  </si>
  <si>
    <t>NORTHERN-VICTORIA-LAND; MARGIN; AUSTRALIA; BOUNDARY; PACIFIC; ROSS</t>
  </si>
  <si>
    <t>The Matusevich Glacier trends 170 degrees totally straight for more than 100 km. For this reason, a major fault was assumed along the glacier formerly. A westward directed ductile thrust system, trending 170 degrees, was subsequently discovered in the upper Matusevich Glacier (Exiles Thrust). It formed under amphibolite facies conditions during the Ross Orogeny. Therefore, the course of the Matusevich Glacier was attributed to the Exiles Thrust instead of the postulated simple fault. During GANOVEX VIII/ITALANTARTIDE XV (1999/2000),the small-scale structures at the margins of the Matusevich Glacier were mapped. The most conspicuous and meaningful of these structures are cold, brittle, NW- to N-trending thrusts with slickensides, decorated with quartz fibres and uniformly SW-thrusting (-220 degrees). They occur at the western side of the glacier (Lazarev Mts.). These structures are consistent with strike-slip tectonics along the Matusevich Glacier and could be interpreted as indicators of transpressional tectonics. Unfortunately, corresponding dextral strike-slip faults, which should strike about 170 degrees, could not be observed directly. But 30 km to the west, 165 degrees trending strike-slip structures are exposed at the eastern edge of Outrider Nunatak. Striations on steep fault planes indicate dextral displacement. This strike-slip tectonics produced a flower structure visible in one of the main granite-walls of Outrider Nunatak. Thus the neotectonics of westernmost Oates Land is characterized by brittle dextral strike-slip faulting, following the trend of much older Ross-age ductile thrust tectonics. A comparable history as at this Matusevich Fracture Zone is known from the larger Rennick Glacier. Thus, two brittle dextral strike-slip fault zones are tracing older structures and cross at high angles the coastline of Antarctica. They are co-linear with off-shore fracture zones, the active parts of which are the transform faults between Antarctica and Australia. We discuss, whether the dextral faults on-shore could represent the continuations of the fracture zones off-shore. This idea is supported (i) by dextral offsets of the shelf where fracture zones reach Antarctica; (d) possibly by magnetic anomalies along the Matusevich and Rennick Glaciers, which seem to continue off-shore;(N) by several examples of oceanic fracture zones continuing into continental crust.</t>
  </si>
  <si>
    <t>Goethe Univ Frankfurt, Inst Geol Palaontol, Senckenberganlage 32, D-60054 Frankfurt, Germany; Bundesanstalt Geowissensch &amp; Rohstoffe, Hannover, Germany</t>
  </si>
  <si>
    <t>Goethe University Frankfurt</t>
  </si>
  <si>
    <t>Kleinschmidt, G (corresponding author), Goethe Univ Frankfurt, Inst Geol Palaontol, Senckenberganlage 32, D-60054 Frankfurt, Germany.</t>
  </si>
  <si>
    <t>kleinschmidt@em.uni-frankfurt.de; laeufer@em.uni-frankfurt.de</t>
  </si>
  <si>
    <t>Läufer, Andreas/ABC-1465-2020</t>
  </si>
  <si>
    <t>Läufer, Andreas/0000-0003-2219-0450</t>
  </si>
  <si>
    <t>Deutsche Forschungsgemeinschaft [AZ Kl 429/18-1-3]</t>
  </si>
  <si>
    <t>The authors thank the Bundesanstalt fur Geowissenschaften und Rohstoffe (BGR), Hannover, for the invitation to GANOVEX VIII/ITALANTARTIDE XV; BGR, PNRA and AWI for their logistic support; D. Damaske, V.Damm, F. Henjes-Kunst, N.W. Roland, F. Rossetti and F. Talarico for fruitful discussions during the expedition and afterwards; and last but not least Deutsche Forschungsgemeinschaft, Bonn, for financial support (AZ Kl 429/18-1-3). Additionally herzlichen Dank and mille gracie to U. Schuler and F. Ferraccioli for their very helpful reviews.</t>
  </si>
  <si>
    <t>10.1007/3-540-32934-X_21</t>
  </si>
  <si>
    <t>WOS:000236632500021</t>
  </si>
  <si>
    <t>Stump, E; Gootee, B; Talarico, F</t>
  </si>
  <si>
    <t>Tectonic model for development of the Byrd Glacier discontinuity and surrounding regions of the Transantarctic Mountains during the neoproterozoic early paleozoic</t>
  </si>
  <si>
    <t>SOUTHERN VICTORIA LAND; DRY VALLEYS AREA; ANTARCTIC MARGIN; ROSS OROGEN; SHACKLETON LIMESTONE; BEARDMORE GROUP; GONDWANA; GRANITOIDS; EVOLUTION; HISTORY</t>
  </si>
  <si>
    <t>The Byrd Glacier discontinuity is a major tectonic boundary crossing the Ross Orogen, with crystalline rocks to the north and primarily sedimentary rocks to the south. Most models for the tectonic development of the Ross Orogen in the central Transantarctic Mountains consist of two-dimensional transects across the belt, but do not address the major longitudinal contrast at Byrd Glacier. This paper presents a tectonic model centering on the Byrd Glacier discontinuity. Rifting in the Neoproterozoic produced a crustal promontory in the craton margin to the north of Byrd Glacier. Oblique convergence of a terrane (Beardmore microcontinent) during the latest Neoproterozoic and Early Cambrian was accompanied by subduction along the craton margin of East Antarctica. New data presented herein in support of this hypothesis are U-Pb dates of 545.7 +/- 6.8 Ma and 531.0 +/- 7.5 Ma on plutonic rocks from the Britannia Range, directly north of Byrd Glacier. After docking of the terrane, subduction stepped out, and Byrd Group was deposited during the Atclabanian-Botomian across the inner margin of the terrane. Beginning in the upper Botomian, reactivation of the sutured boundaries of the terrane resulted in an outpouring of dastic sediment and folding and faulting of the Byrd Group.</t>
  </si>
  <si>
    <t>Arizona State Univ, Dept Geol Sci, Tempe, AZ 85287 USA; Univ Siena, Dept Sci della Terra, Siena, Italy</t>
  </si>
  <si>
    <t>Arizona State University; Arizona State University-Tempe; University of Siena</t>
  </si>
  <si>
    <t>Arizona State Univ, Dept Geol Sci, Tempe, AZ 85287 USA.</t>
  </si>
  <si>
    <t>NSF [OPP-9909463]; PNRA [4.13]</t>
  </si>
  <si>
    <t>NSF(National Science Foundation (NSF)); PNRA</t>
  </si>
  <si>
    <t>We thank Alex Pullen and George Gehrels for the U-Pb analyses. Funding sources include NSF grant OPP-9909463 (E. S.) and PNRA Research Project 4.13 (F. T.).</t>
  </si>
  <si>
    <t>10.1007/3-540-32934-X_22</t>
  </si>
  <si>
    <t>WOS:000236632500022</t>
  </si>
  <si>
    <t>Gootee, B; Stump, E</t>
  </si>
  <si>
    <t>Depositional environments of the Byrd Group, Byrd Glacier area: A Cambrian record of sedimentation, tectonism, and magmatism</t>
  </si>
  <si>
    <t>CENTRAL TRANSANTARCTIC MOUNTAINS; ANTARCTICA</t>
  </si>
  <si>
    <t>The geology of the Byrd Group immediately south of Byrd Glacier records a major sequence of geologic events, beginning with the development of a carbonate platform (Shackleton Limestone) during the early Atdabanian (approximately 525 Ma), followed by a transitional interval of siliciclastic deposition and volcanism (Starshot Formation) during the late Botomian (approximately 512 Ma), and ending with a coarse cover of clastic molasse deposition (Douglas Conglomerate), no younger than plutonism at 492 +/- 2 Ma. Thus, the Byrd Group was deposited during a span of less than 33 myr, as a sequence of passive shelf-margin sedimentation through active uplift and erosion related to the Ross Orogeny The newly subdivided Shackleton Limestone records at least two major depositional cycles, interrupted by a significant karst event. A layer of volcanic ash overlain by a thick layer of argillite in the uppermost Shackleton Limestone records the timing of a conformable carbonate to siliciclastic transition, accompanied by basalt volcanism of the Starshot Formation. Continued clastic deposition of the Starshot Formation coarsens upwards into the Douglas Conglomerate, where the primary sources of clastic detritus are derived from the Shackleton Limestone and possibly much of the Starshot Formation itself.</t>
  </si>
  <si>
    <t>Arizona State Univ, Dept Geol Sci, Tempe, AZ 85287 USA</t>
  </si>
  <si>
    <t>Arizona State University; Arizona State University-Tempe</t>
  </si>
  <si>
    <t>Gootee, B (corresponding author), Arizona State Univ, Dept Geol Sci, Tempe, AZ 85287 USA.</t>
  </si>
  <si>
    <t>NSF [OPP-9909463]</t>
  </si>
  <si>
    <t>NSF(National Science Foundation (NSF))</t>
  </si>
  <si>
    <t>In the central Transantarctic Mountains immediately south of Byrd Glacier (Fig. 4.4-1), the Byrd Group provides a nearly continuous rock sequence from which to study a major transition from Early Cambrian passive carbonate platform sedimentation to uplift and siliciclastic progradation. The results of our field program (NSF Grant no. OPP-9909463)</t>
  </si>
  <si>
    <t>10.1007/3-540-32934-X_23</t>
  </si>
  <si>
    <t>WOS:000236632500023</t>
  </si>
  <si>
    <t>Läufer, AL; Kleinschmidt, G; Rossetti, F</t>
  </si>
  <si>
    <t>Late-Ross structures in the Wilson Terrane in the Rennick Glacier area (Northern Victoria Land, Antarctica)</t>
  </si>
  <si>
    <t>ARCHITECTURE; EVOLUTION; MARGIN; CRATON; RANGE; FAULT</t>
  </si>
  <si>
    <t>Kinematic data from the Rennick Glacier area indicate the presence of two intra-Wilson Terrane late-Ross opposite-directed high-strain reverse shear systems. High-grade rocks are W- and E-ward displaced over low-grade rocks and shallow-level intrusions. The shear zones are offset in a step-like pattern suggesting the presence of ENE trending right-lateral faults. The structural pattern accounts for a relationship between the Exiles and Wilson thrusts in Oates Land,which in our opinion can be traced from the Pacific coast to the Ross Sea. The western front of the Ross Orogen towards the East Antarctic Craton is best interpreted as a broad W-vergent fold-and-thrust belt, along which the intra-Wilson Terrane arc was detached and thrust onto the craton. The shear zones related to the Exiles Thrust system represent the internal, easternmost thrusts of this belt. Based on our data in combination with recent geophysical and geochronological results,the craton-orogen boundary must be located significantly further W than previously inferred. The boundary and hence the inferred termination of the proposed fold-and-trust belt may roughly lie in the area between Mertz and Ninnis Glaciers in George V Land, taking into account a considerable amount of likely post-Ross crustal extension possibly related to the Wilkes Subglacial Basin.</t>
  </si>
  <si>
    <t>Goethe Univ Frankfurt, Inst Geol Palaontol, Frankfurt, Germany; Univ Rome Tre, Dept Sci, Rome, Italy; Bundesanstalt Geowissensch &amp; Rohstoffe, Hannover, Germany</t>
  </si>
  <si>
    <t>Goethe University Frankfurt; Italfarmaco; Roma Tre University</t>
  </si>
  <si>
    <t>Goethe Univ Frankfurt, Inst Geol Palaontol, Frankfurt, Germany.</t>
  </si>
  <si>
    <t>laeufer@em.uni-frankfurt.de; kleinschmidt@em.uni-frankfurt.de</t>
  </si>
  <si>
    <t>Deutsche Forschungsgemeinschaft [KL 429/18-1, KL 429/18-2, KL 429/18-3]; Alfred Wegener Institute for Polar and Marine Research for polar equipment; PNRA at Siena University</t>
  </si>
  <si>
    <t>Deutsche Forschungsgemeinschaft(German Research Foundation (DFG)); Alfred Wegener Institute for Polar and Marine Research for polar equipment; PNRA at Siena University</t>
  </si>
  <si>
    <t>This study is part of the GANOVEX VIII-ITALIANTARTIDE XV programme in 19992000. Sincere thanks to Bundesanstalt fur Geowissenschaften und Rohstoffe (BGR) for the inviation and to BGR and the Italian Programma Nazionale die Ricerche in Antartide (PNRA) for logistic support. A. L. and G. K. thank Deutsche Forschungsgemeinschaft for financial support (grants KL 429/18-1 to 3) and Alfred Wegener Institute for Polar and Marine Research for polar equipment. F. R. acknowledges a fellowship of PNRA at Siena University and thanks R. Funiciello and F. Salvini for continuous advice and encouragement.</t>
  </si>
  <si>
    <t>10.1007/3-540-32934-X_24</t>
  </si>
  <si>
    <t>WOS:000236632500024</t>
  </si>
  <si>
    <t>Adams, CJ</t>
  </si>
  <si>
    <t>Style of uplift of paleozoic terranes in northern Victoria Land, Antarctica: Evidence from K-Ar age patterns</t>
  </si>
  <si>
    <t>K-Ar ages of 82 slate and schist (white-mica-rich whole-rock) samples are reported for Late Precambrian-Early Ordovician metamorphic rocks of the Wilson, Bowers and Robertson Bay terranes of northern Victoria Land. These are amalgamated in two vertical sections along composite NE-SW horizontal profiles across (1) Oates Coast in the north, and (2) Terra Nova Bay area in the south. The ages are in the range 328-517 Ma. Both profiles show some age variation with altitude, but more importantly, they define an inverted wedge shaped pattern, reflecting a pop-up structure. This is oriented NW-SE at the eastern margin of the Wilson terrane, and the edges coincide with the Exiles and Wilson Thrusts which cross the region. Ages inside the pop-up structure are younger, ca. 460-480 Ma, than those along its eastern and western flanks,ca. 490-520 Ma. The K-Ar age patterns thus demonstrate a late Ross Orogenic age (ca. 460 Ma) for this structure, which may be associated with assembly of the Wilson and Bowers terranes.</t>
  </si>
  <si>
    <t>Adams, CJ (corresponding author), Inst Geol &amp; Nucl Sci, POB 30368, Lower Hutt, New Zealand.</t>
  </si>
  <si>
    <t>10.1007/3-540-32934-X_25</t>
  </si>
  <si>
    <t>WOS:000236632500025</t>
  </si>
  <si>
    <t>Hervé, F; Miller, H; Pimpirev, C</t>
  </si>
  <si>
    <t>Patagonia - Antarctica connections before Gondwana break-up</t>
  </si>
  <si>
    <t>SOUTH SHETLAND ISLANDS; MIERS BLUFF FORMATION; MESOZOIC EVOLUTION; SOUTHERNMOST CHILE; LIVINGSTON-ISLAND; SCOTIA ARC; SHEAR ZONE; PENINSULA; AGE; ARCHIPELAGO</t>
  </si>
  <si>
    <t>The connections between the Antarctic Peninsula and Patagonia, here referred to as South America south of 44 degrees S,are analysed in the light of new geological information and hypotheses. The previously supposed existence of a continuous belt of Late Paleozoic accretionary complexes in the western margin of both Patagonia and the Antarctic Peninsula has been repudiated in recent years, since these complexes are mainly Mesozoic in terms of deposition and metamorphism. This is consistent with paleogeographic models in which the Antarctic Peninsula lays west of Patagonia in pre-break-up times. This disposition is favoured by similarities in provenance between the late Early Permian to ?Late Triassic Duque de York Complex and Trinity Peninsula Group,which share sedimentological characteristics and U-Pb detrital zircon age patterns. After the Early Jurassic Chonide orogeny, the Antarctic Peninsula started to drift southwards, as indicated by paleomagnetic reconstructions of Weddell Sea ocean floor spreading, allowing the present-day margin of Patagonia to become progressively, from north to south, an actively subducting margin. In the Late Jurassic and Late Cretaceous, while the Antarctic Peninsula was drifting to its present position, turbiditic sedimentation took place at Hurd Peninsula, Livingston Island, previously considered to be Triassic in age,which has no equivalent in the Patagonian margin. The new data presented here, combined with recent data and models from other authors, reveal two major geological problems to be resolved in the future: to identify a late Early Permian magmatic arc which shed detritus to both the Duque de York Complex and the Trinity Peninsula Group, and to resolve the apparent contradiction between left lateral post break-up movements in the Patagonian Andes, and right lateral displacements in the tectonic configuration of the Antarctic Peninsula.</t>
  </si>
  <si>
    <t>Univ Chile, Dept Geol, Casilla 13518,Correo 21, Santiago, Chile; Ludwig Maximillians Univ, Dept Earth &amp; Environ Sci, D-80333 Munich, Germany; Sofia Univ, Dept Geol &amp; Pelentol, Sofia, Bulgaria</t>
  </si>
  <si>
    <t>Universidad de Chile; University of Munich; University of Sofia</t>
  </si>
  <si>
    <t>Univ Chile, Dept Geol, Casilla 13518,Correo 21, Santiago, Chile.</t>
  </si>
  <si>
    <t>fherve@cec.uchile.cl; h.miller@lmu.de; polar@gea.uni-sofia.bg</t>
  </si>
  <si>
    <t>Pimpirev, Christo/0009-0008-1780-006X</t>
  </si>
  <si>
    <t>Instituto Antartico Chileno; Alfred-Wegener-Institut and Deutsche Forschungsgemeinschaft; Bulgarian Antarctic Institute; Programa Institucional Antartico; Universidad de Chile and FONDECYT [1010412]</t>
  </si>
  <si>
    <t>Instituto Antartico Chileno; Alfred-Wegener-Institut and Deutsche Forschungsgemeinschaft(German Research Foundation (DFG)); Bulgarian Antarctic Institute; Programa Institucional Antartico; Universidad de Chile and FONDECYT</t>
  </si>
  <si>
    <t>This paper is the fruit of a long lasting collaboration between the authors, which have been supported in the field and laboratory work by Instituto Antartico Chileno (FH), the Alfred-Wegener-Institut and Deutsche Forschungsgemeinschaft (HM) and Bulgarian Antarctic Institute (CP). FH acknowledges additional support from Programa Institucional Antartico, Universidad de Chile and FONDECYT project 1010412. R. J. Pankhurst, A. Milne, A. Vaughan and W. Loske have shared field, laboratory work and discussion on these topics during many years. V. Faundez and J. P. Lacassie prepared some of the figures and helped with the final version of the manuscript. The reviewers R. J. Pankhurst and I. Dalziel have kindly contributed to improve the manuscript.</t>
  </si>
  <si>
    <t>10.1007/3-540-32934-X_26</t>
  </si>
  <si>
    <t>WOS:000236632500026</t>
  </si>
  <si>
    <t>Janik, T; Sroda, P; Grad, M; Guterch, A</t>
  </si>
  <si>
    <t>Moho depth along the Antarctic Peninsula and crustal structure across the landward projection of the Hero Fracture Zone</t>
  </si>
  <si>
    <t>WEST-ANTARCTICA; TECTONIC EVOLUTION; BRANSFIELD STRAIT; MARGIN; PLATE; TRENCH; RIDGE; BASIN; RIFT</t>
  </si>
  <si>
    <t>Results of deep seismic soundings collected during four Polish Geodynamical Expeditions to West Antarctica between 1979 and 1991 were synthesised to produce a map of Moho depth beneath the NW coast of the Antarctic Peninsula. In this paper, we present a new interpretation of the deep landward projection of the Hero Fracture Zone based on two seismic transects. On each transect we found high velocity bodies with Vp &gt; 7.2 km s(-1), similar to ones we detected previously in Bransfield Strait. However, these bodies are not continuous; they are separated by a zone of lower velocities located SW of Deception Island. In Bransfield Strait an asymmetric mushroom-shaped high velocity body was found at a depth interval from 13-18 km down to the Moho boundary at a depth of ca. 30 km. As a summary of results, we present a map of Moho depth along the coast of the Antarctic Peninsula, prepared using previous seismic 2D models. The map shows variations in crustal thickness from 38-42 km along the Antarctic Peninsula shelf in the southern part of the study area to 12-18 km beneath the South Shetland Trench.</t>
  </si>
  <si>
    <t>Polish Acad Sci, Inst Geophys, Ks Janusza 64, PL-01452 Warsaw, Poland; Univ Warsaw, Inst Geophys, PL-00325 Warsaw, Poland</t>
  </si>
  <si>
    <t>Polish Academy of Sciences; Institute of Geophysics of the Polish Academy of Sciences; University of Warsaw</t>
  </si>
  <si>
    <t>Janik, T (corresponding author), Polish Acad Sci, Inst Geophys, Ks Janusza 64, PL-01452 Warsaw, Poland.</t>
  </si>
  <si>
    <t>janik@igf.edu.pl</t>
  </si>
  <si>
    <t>10.1007/3-540-32934-X_27</t>
  </si>
  <si>
    <t>WOS:000236632500027</t>
  </si>
  <si>
    <t>Galindo-Zaldívar, J; Balanyá, JC; Bohoyo, F; Jabaloy, A; Maldonado, A; Martínez-Martínez, JM; Rodríguez-Fernández, J; Suriñach, E</t>
  </si>
  <si>
    <t>Crustal thinning and the development of deep depressions at the Scotia-Antarctic plate boundary (Southern margin of Discovery Bank, Antarctica)</t>
  </si>
  <si>
    <t>MANTLE FLOW; BASIN; TECTONICS; RIDGE</t>
  </si>
  <si>
    <t>Discovery Bank is located at the eastern end of the South Scotia Ridge. The new geophysical data point that this bank is continental in nature and may be a former fragment of the continental bridge that connected South America and the Antarctic Peninsula before the Oligocene and is located at the Scotia-Antarctic plate boundary along the South Scotia Ridge. In this region, continental fragments are bounded by the oceanic crust of the Scotia Sea to the north and of the Weddell Sea to the south. Seismicity indicates that at present active structures related to the plate boundary are located within the continental crust, whereas most of the continental-oceanic crust boundaries seem to be inactive. The main crustal elements of the Scotia-Antarctic plate boundary at the region of Discovery Bank include, from north to south: the oceanic crust of the Scotia Plate, the Discovery Bank composed of continental crust, a tectonic domain with intermediate features, both in position and nature, between continental and oceanic crusts that includes the Southern Bank, mand the oceanic crust of the northern Weddell Sea, which belongs to the Antarctic Plate. The intermediate domain shows extreme crustal thinning and mantle uplift that are associated to the deep basins in all the MCS profiles, although we do not observe evidence of oceanic spreading. This domain was probably developed during the Late Cenozoic subduction of the Weddell Sea oceanic crust below the Discovery Bank and prior to the recent transcurrent tectonics. The complex bathymetry and structure of the plate boundary are a consequence of the presence of continental and intermediate crustal blocks. Deformation was preferently concentrated here, between the two stable oceanic domains.</t>
  </si>
  <si>
    <t>Univ Granada, Dept Geodinam, E-18071 Granada, Spain; Univ Pablo Olavide, Dept Ciencias Ambientales, Seville, Spain; Univ Granada, CSIC, Inst Anadaluz Ciencias Tierra, SP-18002 Granada, Spain; Univ Barcelona, Dept Geodinamica, SP-08028 Barcelona, Spain</t>
  </si>
  <si>
    <t>University of Granada; Universidad Pablo de Olavide; Consejo Superior de Investigaciones Cientificas (CSIC); University of Granada; University of Barcelona</t>
  </si>
  <si>
    <t>Univ Granada, Dept Geodinam, E-18071 Granada, Spain.</t>
  </si>
  <si>
    <t>jgalindo@ugr.es; jabaloy@ugr.es; fbohoyo@ugr.es; jabaloy@ugr.es; amaldona@ugr.es; jmmm@ugr.es; jrodrig@ugr.es; emma.surinach@ub.edu</t>
  </si>
  <si>
    <t>Bohoyo, Fernando/C-1062-2011; Bohoyo, Fernando/AAZ-5990-2021; Galindo-Zaldivar, Jesus/K-3640-2012; JABALOY SANCHEZ, ANTONIO/L-2955-2014; Surinach, Emma/C-5896-2008; RODRIGUEZ-FERNANDEZ, JOSE/L-7077-2014</t>
  </si>
  <si>
    <t>Bohoyo, Fernando/0000-0002-1044-8816; Bohoyo, Fernando/0000-0002-1044-8816; Galindo-Zaldivar, Jesus/0000-0002-3493-2637; JABALOY SANCHEZ, ANTONIO/0000-0001-5830-5913; RODRIGUEZ-FERNANDEZ, JOSE/0000-0003-0349-9209</t>
  </si>
  <si>
    <t>Spains CICYT [ANT99-0817, REN2001- 2143/ANT]</t>
  </si>
  <si>
    <t>Spains CICYT(Consejo Interinstitucional de Ciencia y Tecnologia (CICYT))</t>
  </si>
  <si>
    <t>The comments of Dr. I. Dalziel and an anonymous referee improved this contribution. Spains CICYT supported this research through Project ANT99-0817 and REN2001- 2143/ANT.</t>
  </si>
  <si>
    <t>10.1007/3-540-32934-X_28</t>
  </si>
  <si>
    <t>WOS:000236632500028</t>
  </si>
  <si>
    <t>Galindo-Zaldívar, J; Gamboa, L; Maldonado, A; Nakao, S; Yao, BC</t>
  </si>
  <si>
    <t>Bransfield Basin tectonic evolution</t>
  </si>
  <si>
    <t>ANTARCTIC PENINSULA; ARC; STRAIT; MARGIN; RIDGE; RIFT</t>
  </si>
  <si>
    <t>Bransfield Basin is located at the Pacific margin of the Antarctic Peninsula and constitutes an incipient oceanic back-arc basin. This basin developed as a consequence of the separation of the South Shetland Blockfrom the Antarctic Peninsula. Analysis of multichannel seismic profiles from Brazilian, Spanish, Japanese and Chinese cruises allows the shallow structure of the Bransfield Basin and its eastward prolongation through the South Scotia Ridge to be studied. The Bransfield Basin is asymmetrical and taking into account the shallow structures, its opening may be interpreted as related to a low angle normal fault that dips NW, with the South Shetland Block constituting the hanging wall. The margin adjacent to the Antarctic Peninsula exhibits all the features associated with a lower plate passive margin, such as the development of landward tilted half-grabens, the presence of a break-up unconformity, and the deposition of an oceanward dipping drift sequence. However, the margin near the South Shetland Islands is typical of an upper-plate margin: poorly nourished, sharp and with high angle faults. Extension is more developed in the Central Bransfield Basin, where a volcanic axis is recognized as the expression of a young spreading center, and there is possibly incipient oceanic crust. In the Bransfield Basin extremities, present-day deposits represent the synrift sequence,and extension continues. The Bransfield Basin probably develops as a consequence of two interacting processes. The main one is rollback of the trench hinge related to the continued sinking of the subducted slab of the former Phoenix Plate. A second process is related to the westwards propagation of the deformations associated with the Scotia-Antarctic plate boundary along the South Scotia Ridge and up to the Bransfield Basin.</t>
  </si>
  <si>
    <t>Univ Granada, Dept Geodinam, E-18071 Granada, Spain; Univ Fed Fluminense, PETROBRAS, Niteroi, RJ, Brazil; Univ Granada, CSIC, Inst Andaluz Ciencias Tierra, Granada, Spain; Marine Geol Dept, Geolog Survey Japan, Tokyo, Japan; Guangzhou Marine Geolog Survey, Guangzhou, Guangdong, Peoples R China</t>
  </si>
  <si>
    <t>University of Granada; Petrobras; Universidade Federal Fluminense; Consejo Superior de Investigaciones Cientificas (CSIC); CSIC - Instituto Andaluz de Ciencias de la Tierra (IACT); University of Granada</t>
  </si>
  <si>
    <t>jgalindo@ugr.es; gamboa@petrobras.br; amaldona@ugr.es</t>
  </si>
  <si>
    <t>Galindo-Zaldivar, Jesus/K-3640-2012; Gamboa, Luiz/AAL-5904-2021</t>
  </si>
  <si>
    <t>Galindo-Zaldivar, Jesus/0000-0002-3493-2637;</t>
  </si>
  <si>
    <t>CICYT [ANT99-0817, REN2001- 2143/ANT]; CAPES; Universidade Federal Fluminenese and Petrobras contributions</t>
  </si>
  <si>
    <t>CICYT(Consejo Interinstitucional de Ciencia y Tecnologia (CICYT)Spanish Government); CAPES(Coordenacao de Aperfeicoamento de Pessoal de Nivel Superior (CAPES)); Universidade Federal Fluminenese and Petrobras contributions</t>
  </si>
  <si>
    <t>The comments of Dr. G. Eagles and Dr. K. Birkenmajer have improved this contribution. Spains CICYT supported this research through Project ANT99-0817 and REN2001- 2143/ANT and Brazil, through CAPES, Universidade Federal Fluminenese and Petrobras contributions.</t>
  </si>
  <si>
    <t>10.1007/3-540-32934-X_29</t>
  </si>
  <si>
    <t>WOS:000236632500029</t>
  </si>
  <si>
    <t>Pimpirev, C; Stoykova, K; Ivanov, M; Dimov, D</t>
  </si>
  <si>
    <t>The sedimentary sequences of Hurd Peninsula, Livingston Island, South Shetland Islands: Part of the late Jurassic cretaceous depositional history of the Antarctic Peninsula</t>
  </si>
  <si>
    <t>MIERS BLUFF FORMATION</t>
  </si>
  <si>
    <t>The age of the sedimentary sequences of Hurd Peninsula (here referred to the Miers Bluff Formation (MBF)), has been considered so far as Triassic, coeval of the Trinity Group. Recently, a Tithonian ammonite species was found in a non-in situ block, coming from the lowermost unexposed part of the Formation. Our micropaleontological study reveals the occurrence of calcareous nannofossils in six sections. The recorded nannofossil association comprises the following species: Micula decussata, Calculites obscurus, Arkhangel-skiella cymbiformis, Prediscosphaera cretacea, Lucianorhabdus coyeuxii, Cyclagelosphaera reinhardtii, Braarudosphaera bigelowii, Ceratolithoides aculeus, Broinsonia cf. parca, Thoracosphaera sp. indet., Nephrolithus sp. indet., Cretorhabdus sp. indet., Watznaueria sp. indet. It determines a Campanian-Maastrichtian age for the middle and upper part of MBF. Two calcareous nanofossil species, Prediscosphaera cretacea and ?Fasciculithus sp. indet., found in the Burdick Peak section suggest a Late Maastrichtian to (?) Paleocene age of the uppermost part of the MBF. The sediments of the MBF are possibly coeval of a part of Marambio Group (James Ross Island and Seymour Island) and Williams Point beds (Livingston Island).</t>
  </si>
  <si>
    <t>Univ Sofia, Dept Geol &amp; Paleontol, Tsar Osvoboditel 15, Sofia 1000, Bulgaria; Geol Inst Bulgarian Acad Sci, Dept Paleontology &amp; Stratigraphy, Sofia 1113, Bulgaria</t>
  </si>
  <si>
    <t>University of Sofia</t>
  </si>
  <si>
    <t>Univ Sofia, Dept Geol &amp; Paleontol, Tsar Osvoboditel 15, Sofia 1000, Bulgaria.</t>
  </si>
  <si>
    <t>polar@gea.uni-sofia.bg; stoykova@geology.bas.bg; mivanov@gea.uni-sofia.bg; polar@gea.uni-sofia.bg</t>
  </si>
  <si>
    <t>Stoykova, Kristalina/N-3303-2014</t>
  </si>
  <si>
    <t>Stoykova, Kristalina/0000-0002-4353-0859; Pimpirev, Christo/0009-0008-1780-006X</t>
  </si>
  <si>
    <t>Bulgarian Ministry of the Environment and Water; Bulgarian Antarctic Institute; Spanish Antarctic program</t>
  </si>
  <si>
    <t>The authors are grateful for the critical reviews supplied by Prof. S.W. Wise (Florida State University) and one anonymous referee. Their helpful comments and insights improved the manuscript greatly. Appreciation is also extended to Prof. Hubert Miller for his thoughtful suggestions and support of our research and to Dr. Polina Pavlishina for her consultation on the published Triassic palynomorphs. This study was graciously supported financially by Bulgarian Ministry of the Environment and Water; logistic support came from Bulgarian Antarctic Institute and Spanish Antarctic program.</t>
  </si>
  <si>
    <t>10.1007/3-540-32934-X_30</t>
  </si>
  <si>
    <t>WOS:000236632500030</t>
  </si>
  <si>
    <t>Dumont, JF; Santana, E; Hervé, F; Zapata, C</t>
  </si>
  <si>
    <t>Regional structures and geodynamic evolution of North Greenwich (Fort Williams Point) and Dee Islands, south Shetland islands</t>
  </si>
  <si>
    <t>LIVINGSTON-ISLAND; BRANSFIELD BASIN; ANTARCTIC PENINSULA; HURD PENINSULA</t>
  </si>
  <si>
    <t>Morphological and structural studies of the Fort Williams Point area (Greenwich and Dee Islands) reveal two regional trends, NE-SW and NW-SE. Detailed field observations show that the NWSE structural direction is associated with dykes and fractures resulting from a NW-SE shortening. This shortening is interpreted as related to active basaltic volcanism during the Mesozoic Andean history of the area. The NE-SW structural trend is associated with NE-SW trending sinistral faults post-dating the Cretaceous volcanic units. Kinematic analysis shows a roughly N-S trending shortening, This event is interpreted as related to the opening of the Bransfield Basin located to the south-east.</t>
  </si>
  <si>
    <t>IRD Geosci Azur, Observ Oceanog, BP 48 Darsse, F-06235 Villefranche Sur Mer, France; INOCAR, Unit Convemar, South Naval Base, Guayaquil, Ecuador; Univ Chile, Dept Geol, Santiago, Chile</t>
  </si>
  <si>
    <t>Institut de Recherche pour le Developpement (IRD); Universidad de Chile</t>
  </si>
  <si>
    <t>IRD Geosci Azur, Observ Oceanog, BP 48 Darsse, F-06235 Villefranche Sur Mer, France.</t>
  </si>
  <si>
    <t>dumon@obs-vlfr.fr; fherve@cec.uchile.cl</t>
  </si>
  <si>
    <t>10.1007/3-540-32934-X_31</t>
  </si>
  <si>
    <t>WOS:000236632500031</t>
  </si>
  <si>
    <t>Kim, SB; Sohn, YK; Choe, MY</t>
  </si>
  <si>
    <t>The Eocene volcaniclastic Sejong Formation, Barton Peninsula, King George Island, Antarctica: Evolving arc volcanism from precursory fire fountaining to vulcanian eruptions</t>
  </si>
  <si>
    <t>SOUTH SHETLAND ISLANDS; DEPOSITS; MEXICO; FLOWS; DOME</t>
  </si>
  <si>
    <t>The Sejong Formation (100-200 m thick) represents a newly recognized Eocene volcaniclastic unit in Barton Peninsula, King George Island, West Antarctica. Detailed field mapping and lithofacies analysis indicate that the formation can be subdivided into three distinct facies associations (FA): (2) spatter/cinder-cone association (FA I), (2) volcaniclastic-apron association (FA II), and (3) distal-apron association (FA III). FA I, occurring at the base of the formation, comprises massive and jointed basalt lavas, which pass laterally into basaltic agglomerates and agglutinates through a transitional zone of fractured basalt lava flows. These field relations suggest fire-fountaining (Hawaiian) to Strombolian eruptions and subsequent emplacement of ponded lavas filling the vents of small-scale spatter/cinder cones at the precursory phase of arc volcanism in Barton Peninsula. FA II, unconformably overlying FA I, is represented by very thick, tabular beds of basaltic to andesitic, welded to non-welded, tuff breccias and lapilli tuffs, emplaced by pyroclastic flows (largely block-and-ash flows), with rare intervening andesite lava flows. FA II indicates onset of the main-phase of explosive and effusive eruptions (Vulcanian), probably associated with repetitive extrusions and collapses of lava domes at the summit crater of a stratovolcano,and thereby formation of large volcaniclastic aprons. The changes in eruption styles probably resulted from generation of more evolved (intermediate) magma, possibly due to compositional differentiation of the parental magma, and interaction of the magma with groundwater. FA III is intercalated with FA II as thin lenses and is characterized by fluvial red sandstone/siltstone couplets, locally alternating with channelized mass-flow conglomerates. FA III represents active hydrologic remobilizations during inter-eruptive periods and thereby development of ephemeral streams and floodplains in lowlands on and beyond the distal volcaniclastic aprons. These eruptive and depositional processes indicate a full emergence (subaerial setting) of the King George Island during the Eocene.</t>
  </si>
  <si>
    <t>Korea Natl Oil Corp, Domest Explorat Team 2, Anyang 431711, South Korea; Gyeongsang National Univ, Dept Earth &amp; Environm Sci, Jinju 660701, South Korea; Korea Ocean Res &amp; Dev Ins, Korea Polar Res Inst, Ansan 462744, South Korea</t>
  </si>
  <si>
    <t>Korea National Oil Corporation; Korea Polar Research Institute (KOPRI)</t>
  </si>
  <si>
    <t>Kim, SB (corresponding author), Korea Natl Oil Corp, Domest Explorat Team 2, Anyang 431711, South Korea.</t>
  </si>
  <si>
    <t>sbkim@knoc.co.kr; yksohn@gsnu.ac.kr; mychoe@kopri.re.kr</t>
  </si>
  <si>
    <t>Sohn, Young Kwan/AAA-1393-2022</t>
  </si>
  <si>
    <t>Korea Polar Research Institute [PP03103, PE05001]</t>
  </si>
  <si>
    <t>Korea Polar Research Institute(Korea Polar Research Institute of Marine Research Placement (KOPRI))</t>
  </si>
  <si>
    <t>This work was supported by Korea Polar Research Institute (grant PP03103 and PE05001). We are grateful to Mr. Y. M. Jeon for his assistance in the field. We also thank Dr. R. C. R. Willan and an anonymous reviewer for their constructive and critical reviews.</t>
  </si>
  <si>
    <t>10.1007/3-540-32934-X_32</t>
  </si>
  <si>
    <t>WOS:000236632500032</t>
  </si>
  <si>
    <t>Galindo-Zaldívar, J; Maestro, A; López-Martínez, J; Galdeano, CS</t>
  </si>
  <si>
    <t>Elephant island recent tectonics in the framework of the Scotia-Antarctic-South Shetland block triple junction (NE Antarctic Peninsula)</t>
  </si>
  <si>
    <t>EVOLUTION; MARGIN</t>
  </si>
  <si>
    <t>Elephant Island is an outcrop of the South Shetland Block, and is located at the southeastern prolongation of the Shackleton Fracture Zone. The South Shetland Block constitutes a continental fragment of the southern branch of the Scotia Arc and has been separated since the Pliocene from the Antarctic Peninsula by the opening of the Bransfield Strait and the transtensional fault zone that extends along the South Scotia Ridge. The northern boundary of the block is determined by subduction at the South Shetland Trench and its eastwards prolongation. The Shackleton Fracture Zone extends up to the South Shetland Block and constitutes the westernmost segment of the Scotia-Antarctic plate boundary. In this tectonic context, Elephant Island permits study of the rocks and the structures that resulted from deformation of the South Shetland Block near the triple junction with the Antarctic and Scotia Plates. Several lines of evidence point to important and recent uplift of Elephant Island: presence of HP/LT metamorphic rocks, marine terraces, and high relief. This is the consequence of at least two processes: subduction of the thickened crust related to the Shackleton Fracture Zone that produced local crustal thickening and post glacial isostatic rebound. This paper reports the results of a study of brittle structures in the western and southern cliffs of Elephant Island. It is shown that recent stresses were variable, in accordance with the tectonic setting. The northwestern sectors are dominated by compression with NE-SW and NW-SE trends respectively related to the Scotia-Antarctic sinistral transcurrence and to subduction of the oceanic lithosphere that was modified in the vicinity of the Shackleton Fracture Zone. In the southern sector, extension predominates with approximately WNW-ESE trend, related to Bransfield Strait opening and transtensional faults located along the South Scotia Ridge. In addition, radial extension has been identified in different sectors that may be related to the uplift of the island.</t>
  </si>
  <si>
    <t>Univ Granada, Dept Geodinam, E-18071 Granada, Spain</t>
  </si>
  <si>
    <t>jgalindo@ugr.es; a.maestro@igme.es; jeronimo.lopez@uam.es; csanz@ugr.es</t>
  </si>
  <si>
    <t>Maestro, Adolfo/K-2434-2014; Lopez-Martinez, Jeronimo/C-5744-2011; Galindo-Zaldivar, Jesus/K-3640-2012; Maestro, Adolfo/ABG-7268-2021</t>
  </si>
  <si>
    <t>Maestro, Adolfo/0000-0002-7474-725X; Lopez-Martinez, Jeronimo/0000-0002-1750-8287; Galindo-Zaldivar, Jesus/0000-0002-3493-2637;</t>
  </si>
  <si>
    <t>10.1007/3-540-32934-X_33</t>
  </si>
  <si>
    <t>WOS:000236632500033</t>
  </si>
  <si>
    <t>López-Martínez, J; Trouw, RAJ; Galindo-Zaldílvar, J; Maestro, A; Simoes, LSA; Medeiros, FF; Trouw, CC</t>
  </si>
  <si>
    <t>Tectonics and geomorphology of Elephant Island, South Shetland Islands</t>
  </si>
  <si>
    <t>SUBDUCTION COMPLEX; ANTARCTICA; EVOLUTION</t>
  </si>
  <si>
    <t>New tectonic and geomorphological data from Elephant island have been obtained during a cooperative fieldwork campaign carried out in the 2002-2003 season by Brazilian and Spanish groups. The main phases of ductile deformation affecting the high-pressure metamorphic rocks of Elephant Island, D1, D2 and D3, were studied in more detail along a N-S profile in the western sector of the island. D2 was subdivided in two subphases, D2a and D2b. The brittle and brittle-ductile deformation postdating the three main phases was studied systematically for the first time in the island. The measurement of the orientation of more than 200 faults with their kinematics pointed out that normal faults indicating an extensional setting predominate in the southern sector of the island. By contrast, in the northern part of the studied profile, major faults are predominantly reverse, although normal faults are also present, indicating the overprinting of at least two deformation stages. A new 1 :50000 topographic map of the island,with 20 m contour interval,was prepared being included in this paper a shadow map from a 3D digital model based on it. Geomorphological features of marine and glacial origin were identified and mapped. The most significant of these are the raised marine platforms up to 150 m a.s.l. at Cape Lindsey area and lower platforms, Holocene raised beaches and moraines at Stinker Point area.</t>
  </si>
  <si>
    <t>Univ Autonoma Madrid, Fac Ciencias, Dept Quim Agricola Geol &amp; Geoquim, E-28049 Madrid, Spain</t>
  </si>
  <si>
    <t>Autonomous University of Madrid</t>
  </si>
  <si>
    <t>López-Martínez, J (corresponding author), Univ Autonoma Madrid, Fac Ciencias, Dept Quim Agricola Geol &amp; Geoquim, E-28049 Madrid, Spain.</t>
  </si>
  <si>
    <t>Galindo-Zaldivar, Jesus/K-3640-2012; Maestro, Adolfo/ABG-7268-2021; Maestro, Adolfo/K-2434-2014; Lopez-Martinez, Jeronimo/C-5744-2011</t>
  </si>
  <si>
    <t>Galindo-Zaldivar, Jesus/0000-0002-3493-2637; Maestro, Adolfo/0000-0002-7474-725X; Lopez-Martinez, Jeronimo/0000-0002-1750-8287</t>
  </si>
  <si>
    <t>10.1007/3-540-32934-X_34</t>
  </si>
  <si>
    <t>WOS:000236632500034</t>
  </si>
  <si>
    <t>Berrocoso, M; García-García, A; Martín-Dávila, J; Catalán-Morollón, M; Astiz, M; Ramírez, ME; Torrecillas, C; de Salamanca, JME</t>
  </si>
  <si>
    <t>Geodynamical studies on Deception Island:: DECVOL and GEODEC projects</t>
  </si>
  <si>
    <t>Deception Island (63 degrees S, 60 degrees W) is situated in the South Shetland Islands, and it is the main active volcano in the Bransfield Strait, with recent eruptions in 1842, 1967, 1969 and 1970. Its volcanic and seismic activity has been monitored from 1986 to study the geodynamic activity on the island. In this paper we present the objectives and some results obtained in DECVOL project, a cross-disciplinary study which was planned to evaluate the volcanic status of the island after the crisis occurred during the 1998/1999 campaign, as well as the goals and activities which have been carried out in the framework of GEODEC project,a multidisciplinary project to continue with the studies on the island.</t>
  </si>
  <si>
    <t>Univ Cadiz, Fac Ciencias, Lab Astron &amp; Geodesia, Cadiz 11510, Spain</t>
  </si>
  <si>
    <t>Berrocoso, M (corresponding author), Univ Cadiz, Fac Ciencias, Lab Astron &amp; Geodesia, Campus Rio San Pedro, Cadiz 11510, Spain.</t>
  </si>
  <si>
    <t>Torrecillas, Cristina/D-9178-2011; BERROCOSO, MANUEL MBD/O-3818-2014</t>
  </si>
  <si>
    <t>Torrecillas, Cristina/0000-0002-3650-3174;</t>
  </si>
  <si>
    <t>10.1007/3-540-32934-X_35</t>
  </si>
  <si>
    <t>WOS:000236632500035</t>
  </si>
  <si>
    <t>Elliot, DH; Fortner, EH; Grimes, CB</t>
  </si>
  <si>
    <t>Mawson breccias intrude Beacon strata at Allan Hills, south Victoria Land: Regional implications</t>
  </si>
  <si>
    <t>TRANSANTARCTIC MOUNTAINS; CARAPACE NUNATAK; COOMBS HILLS; ANTARCTICA; ERUPTION; RIFT</t>
  </si>
  <si>
    <t>At Allan Hills, south Victoria Land, Antarctica, Mawson tuff breccias are intrusive into Permian and Triassic Beacon strata, contrary to previous reports of the relationship. North of Watters Peak, Mawson intrusive and extrusive rocks, a megaclast unit consisting principally of beds of Member C of the Triassic Lashly Formation, and in situ brecciated Permian and Triassic country rock, taken together, comprise an assemblage of Jurassic rocks interpreted as a magmatically-driven collapse structure. At adjacent Coombs Hills the contact at one locality is intrusive but at another the relationships are less clear. The intrusive, rather than stratigraphic, relationship between Mawson tuff breccias and Beacon strata leads to reinterpretation of the Prebble Formation field relations at Otway Massif as also intrusive. Previous interpretations, based on a major unconformity at Allan Hills, of an episode of Early Jurassic pre-Ferrar erosion that created significant topography can no longer be supported.</t>
  </si>
  <si>
    <t>Ohio State Univ, Dept Geol Sci, Byrd Polar Res Ctr, Columbus, OH 43210 USA</t>
  </si>
  <si>
    <t>Elliot, DH (corresponding author), Ohio State Univ, Dept Geol Sci, Byrd Polar Res Ctr, Columbus, OH 43210 USA.</t>
  </si>
  <si>
    <t>NSF [OPP 0087919]; Byrd Polar Research Center [1303]</t>
  </si>
  <si>
    <t>NSF(National Science Foundation (NSF)); Byrd Polar Research Center</t>
  </si>
  <si>
    <t>The authors thank James Elliot and Tim Culley for able assistance in the field. This research has been supported by NSF grant OPP 0087919 to DHE. We thank Peter Barrett and Lothar Viereck-Goette for constructive reviews. Byrd Polar Research Center contribution number 1303.</t>
  </si>
  <si>
    <t>10.1007/3-540-32934-X_36</t>
  </si>
  <si>
    <t>WOS:000236632500036</t>
  </si>
  <si>
    <t>LeMasurier, WE</t>
  </si>
  <si>
    <t>What supports the Marie Byrd Land dome? An evaluation of potential uplift mechanisms in a continental rift system</t>
  </si>
  <si>
    <t>WEST ANTARCTICA; EVOLUTION; TRANSITION; ANOMALIES; CRUSTAL; MOTION</t>
  </si>
  <si>
    <t>Volcanism in the Marie Byrd Land (MBL) volcanic province is related to the growth of an 1200 x 500 km structural dome that lies on the Amundsen Sea coast. Spatial and temporal patterns of volcanic activity suggest that dome uplift began around 29-25 Ma and has continued to the present. Uplift has been accompanied by sometimes voluminous basaltic and felsic volcanism and the development of horst and graben structure,with a maximum of similar to 3 km of uplift. Estimates of crustal thickness, based on models of gravity data and surface wave dispersion studies, have not resolved questions about the origin of uplift. Mantle plume activity has been proposed; but more detailed tomographic imaging of the mantle, together with seismic determinations of crustal thickness, and the thickness and distribution of sub-ice volcanic rock, are needed to test this,and to answer other petrologic and tectonic questions discussed below.</t>
  </si>
  <si>
    <t>Univ Colorado, Inst Arctic &amp; Alpine Res, Boulder, CO 80309 USA</t>
  </si>
  <si>
    <t>LeMasurier, WE (corresponding author), Univ Colorado, Inst Arctic &amp; Alpine Res, Boulder, CO 80309 USA.</t>
  </si>
  <si>
    <t>10.1007/3-540-32934-X_37</t>
  </si>
  <si>
    <t>WOS:000236632500037</t>
  </si>
  <si>
    <t>Davey, FJ; De Santis, L</t>
  </si>
  <si>
    <t>A multi-phase rifting model for the Victoria Land Basin, western Ross Sea</t>
  </si>
  <si>
    <t>TRANSANTARCTIC MOUNTAINS; ANTARCTICA; CONSTRAINTS; EXTENSION; REGION; UPLIFT</t>
  </si>
  <si>
    <t>The Victoria Land Basin is a deep rift margin basin that lies along the Ross Sea margin of the Transantarctic Mountains, Antarctica. Seismic data indicates that the 140 km wide basin contains some 14 km of sediments. Drilling results from the flank of the basin suggests that most of these sediments are late Eocene or younger in age. Four major sequences are defined on the seismic data by angular unconformities indicating several rift episodes. Constraints on the basin formation are derived using flexural cantilever models. The model reproduces the main features (shape, size, timing and broad stratigraphy) of the basin formation moderately well using four rift episodes on five main faults, but does not match the detailed geometry of the seismic stratigraphy.</t>
  </si>
  <si>
    <t>Inst Geol &amp; Nucl Sci, Lower Hutt, New Zealand; Inst Nazionale Oceanografia, Geofisica Sperimentale, Trieste, Italy</t>
  </si>
  <si>
    <t>Inst Geol &amp; Nucl Sci, Lower Hutt, New Zealand.</t>
  </si>
  <si>
    <t>F.davey@gns.cri.nz; ldesantis@OGS.trieste.it</t>
  </si>
  <si>
    <t>PNRA under the Cape Roberts Project (LDS); NZGSF for support (FJD)</t>
  </si>
  <si>
    <t>We thank G. Brancolini for useful comment, and C. De Cillia for preparation of the seismic data. Thoughtful reviews by F. Salvini and G. Wilson greatly improved the manuscript. We acknowledge PNRA for support under the Cape Roberts Project (LDS), and NZGSF for support (FJD).</t>
  </si>
  <si>
    <t>10.1007/3-540-32934-X_38</t>
  </si>
  <si>
    <t>WOS:000236632500038</t>
  </si>
  <si>
    <t>Fielding, CR; Henrys, SA; Wilson, TJ</t>
  </si>
  <si>
    <t>Rift history of the western Victoria Land Basin: A new perspective based on integration of cores with seismic reflection data</t>
  </si>
  <si>
    <t>TRANSANTARCTIC MOUNTAINS; ROSS SEA; ANTARCTICA; BOUNDARY</t>
  </si>
  <si>
    <t>The results of a stratigraphic study of the western Victoria Land Basin, Antarctica, are summarized. This analysis is based on all existing seismic reflection data integrated with lithological information from fully cored drillholes in the Cape Roberts area of western McMurdo Sound. A number of subsurface seismic reflectors were recognized in the Cape Roberts area and correlated to stratal interfaces previously recognized in the cores. These events were then traced regionally throughout the southern McMurdo Sound, and form the basis for a new seismic stratigraphic subdivision of the Cenozoic section. Key reflectors define boundaries of seismic stratigraphic units, each of which shows distinctive overall cross-sectional geometry and internal reflection character/facies. On this basis, we propose a new model for the evolution of the Victoria Land Basin,invoking five phases of tectonic activity and associated sediment accumulation patterns. Phase 1 (pre-latest Eocene) involved regional uplift and erosion of the Transantarctic Mountains to the immediate west of the basin. Phase 2 (latest Eocene to Early Oligocene) was an Early Rift stage characterized by sediment accumulation in laterally restricted grabens. Phase 3 (Early Oligocene to Early Miocene) was the Main Rift stage, in which sediment accumulation was no longer confined to grabens in the west of the basin, but rather formed an eastward-thickening wedge into the centre of the basin. Phase 4 (Early Miocene) was a consequence of passive thermal subsidence, producing a relatively even blanket of sediment across the entire basin. Phase 5 (post-Early Miocene) was associated with the Terror Rift and gave rise to a succession containing both young magmatic rocks and young faults and which thickens markedly into a central depocentre. The new framework allows recognition of thick, post-Early Miocene stratigraphic intervals as yet unsampled by stratigraphic drilling in McMurdo Sound.</t>
  </si>
  <si>
    <t>Univ Nebraska, Dept Geosci, 214 Bessey Hall, Lincoln, NE 68588 USA; Inst Geol &amp; Nuclear Sci, Lower Hutt, New Zealand; Ohio State Univ, Dept Geol Sci, Columbus, OH 43210 USA</t>
  </si>
  <si>
    <t>University of Nebraska System; University of Nebraska Lincoln; University System of Ohio; Ohio State University</t>
  </si>
  <si>
    <t>Univ Nebraska, Dept Geosci, 214 Bessey Hall, Lincoln, NE 68588 USA.</t>
  </si>
  <si>
    <t>cfielding2@unl.edu</t>
  </si>
  <si>
    <t>Australian Research Council; Royal Society of New Zealand Marsden Fund; National Science Foundation [OPP-9527394]; TJW on the McMurdo Sound Basin framework [NSF-OPP-0313974]</t>
  </si>
  <si>
    <t>Australian Research Council(Australian Research Council); Royal Society of New Zealand Marsden Fund(Royal Society of New ZealandMarsden Fund (NZ)); National Science Foundation(National Science Foundation (NSF)); TJW on the McMurdo Sound Basin framework</t>
  </si>
  <si>
    <t>We thank the Cape Roberts Drillsite and Science Teams for their sterling efforts in acquiring and characterizing the CRP cores. CRFs participation in the Cape Roberts Project was supported by two out-of-cycle research grants from the Australian Research Council. SAH acknowledges support from the Royal Society of New Zealand Marsden Fund. TJWs participation in the Cape Roberts Project was supported by the National Science Foundation under Grant no. OPP-9527394. Continued work by TJW on the McMurdo Sound Basin framework has been supported by NSF-OPP-0313974. Karl Hinz and an anonymous individual are thanked for their reviews of the submitted manuscripts. Giuliano Brancolini and Instituto Nazionale di Oceanografia e Geofisica Sperimentale, Trieste, Italy, are thanked for providing access to seismic lines IT90a-70 and -75 for our analysis.</t>
  </si>
  <si>
    <t>10.1007/3-540-32934-X_39</t>
  </si>
  <si>
    <t>WOS:000236632500039</t>
  </si>
  <si>
    <t>Cande, SC; Stock, JM</t>
  </si>
  <si>
    <t>Constraints on the timing of extension in the Northern Basin, Ross Sea</t>
  </si>
  <si>
    <t>MARIE-BYRD-LAND; TRANSANTARCTIC MOUNTAINS; WEST ANTARCTICA; MOTION; EAST; TECTONICS; PACIFIC</t>
  </si>
  <si>
    <t>Recent kinematic constraints for the region north of the western Ross Sea suggest that there was approximately 150 km of seafloor spreading in the Adare Basin, northeast of Cape Adare, between Chrons 20 and 8 (43 to 26 Ma). This kinematic history has important implications since the 150 km of extension in the Adare Basin occurred immediately north along strike from the Northern Basin of the Ross Sea, whose extensional history is not well known. This paper examines the transition from the structures in the Adare Basin to the structures of the Northern Basin and speculates on the manner in which the extension was accommodated in the Ross Sea. Magnetic anomaly data in the Adare Basin document a sequence of anomalies 18 to 12 formed during a period of very slow spreading. The easternmost part of this sequence, anomalies 16 to 18, coalesces into a single positive anomaly near 72 degrees S, forming a distinct anomaly that can be traced southward from the Adare Basin across the continental margin and down the east side of the Northern Basin to a latitude of roughly 73 degrees S. This observation has important implications for the tectonic history of the Ross Sea since it suggests that most of the extension in the Adare Basin continued into the Northern Basin. This, in turn, suggests that the Northern Basin was formed by a combination of crustal thinning and massive, narrowly focused intrusions.</t>
  </si>
  <si>
    <t>Scripps Inst Oceanog, Mail Code 0220, La Jolla, CA 92093 USA; CAL INST TECH, Pasadena, CA 91125 USA</t>
  </si>
  <si>
    <t>University of California System; University of California San Diego; Scripps Institution of Oceanography</t>
  </si>
  <si>
    <t>Scripps Inst Oceanog, Mail Code 0220, La Jolla, CA 92093 USA.</t>
  </si>
  <si>
    <t>scande@ucsd.edu; jstock@gps.caltech.edu</t>
  </si>
  <si>
    <t>Stock, Joann Miriam/AAN-1526-2021</t>
  </si>
  <si>
    <t>Stock, Joann Miriam/0000-0003-4816-7865</t>
  </si>
  <si>
    <t>NSF [OPP-03-38346, OPP-03-38317]</t>
  </si>
  <si>
    <t>We thank the captains, officers, crew and scientific staff of the R/VIB Nathaniel Palmer for their dedicated efforts. Dr. Takemi Ishihara generously provided us with seismic reflection and magnetics data from the RV Hakurei Maru. Two anonymous reviewers provided helpful comments. This work was supported by NSF grants OPP-03-38346 (Cande) and OPP-03-38317 (Stock).</t>
  </si>
  <si>
    <t>10.1007/3-540-32934-X_40</t>
  </si>
  <si>
    <t>WOS:000236632500040</t>
  </si>
  <si>
    <t>Colwell, JB; Stagg, HMJ; Direen, NG; Bernardel, G; Borissova, I</t>
  </si>
  <si>
    <t>The structure of the continental margin off Wilkes Land and Terre Adelie Coast, East Antarctica</t>
  </si>
  <si>
    <t>SOUTHERN MARGIN; DETACHMENT; AUSTRALIA; MANTLE; BASIN</t>
  </si>
  <si>
    <t>In 2001 and 2002, the Australian Government acquired approximately 9000 km of high-quality geophysical data over the margin of East Antarctica between 110-142 degrees E that provide a sound framework for understanding the geology of the region. The data comprise 36-fold deep-seismic, gravity and magnetic data and non-reversed refraction/wide-angle reflection sonobuoys recorded along transects that extend from the lower continental slope out to oceanic crust at a spacing along the margin of approximately 90 km. The continental slope is underlain by a major rift basin beneath which the crust thins oceanwards through extensive faulting of the rift and pre-rift sedimentary section and by mainly ductile deformation of the crystalline crust. Outboard of the margin rift basin, the 90 to 180 km wide continent-ocean transition zone is interpreted to consist primarily of continental crust with magmatic components that can account for the lineated magnetic anomalies that have been interpreted in this zone. The thick sedimentary section in the COT zone is floored by dense lower crustal or mantle rocks indicating massive (&gt;10 km) thinning of the lower and middle crust in this zone. The boundary between the margin rift basin and the COT is marked by a basement ridge which potential field modelling indicates is probably composed of altered/serpentinised peridotite. This ridge is similar in form and interpreted composition to a basement ridge located in a similar structural position at the inboard edge of the COT on the conjugate margin of the Great Australian Bight. On both margins, the ridge is probably the product of mantle up-welling and partial melting focussed at the point of maximum change/necking of crustal thickness. Integrated deep-seismic and potential field interpretations point very strongly to the boundary between unequivocal oceanic crust and largely continental crust of the continent-ocean transition as lying in very deep water, and considerably seaward of most previous interpretations (often based on inadequate seismic data or magnetic data only). We consider the continent-ocean boundary to be well-constrained from 124-131 degrees E and unequivocal from 131-140 degrees E, but open to debate in the sector from 110-124 degrees E. There is a strong degree of pre-breakup symmetry between the conjugate margins of southern Australia and East Antarctica east of about 120 degrees E. In addition to the crustal symmetry,there is also a strong correlation in seismic character between the margins, which allows us to date the major unconformities as probably of base Turonian, Maastrichtian and early Middle Eocene age.</t>
  </si>
  <si>
    <t>Geosci Australia, GPO Box 378, Canberra, ACT, Australia; Univ Adelaide, Continental Evolut Res Grp, Adelaide, SA 5005, Australia</t>
  </si>
  <si>
    <t>Geoscience Australia; University of Adelaide</t>
  </si>
  <si>
    <t>Colwell, JB (corresponding author), Geosci Australia, GPO Box 378, Canberra, ACT, Australia.</t>
  </si>
  <si>
    <t>Direen, Nicholas/P-5949-2019; Direen, Nicholas/E-6288-2011</t>
  </si>
  <si>
    <t>Direen, Nicholas/0000-0002-4466-7064;</t>
  </si>
  <si>
    <t>10.1007/3-540-32934-X_41</t>
  </si>
  <si>
    <t>WOS:000236632500041</t>
  </si>
  <si>
    <t>O'Brien, PE; Stanley, S; Parums, R</t>
  </si>
  <si>
    <t>Post-rift continental slope and rise sediments from 38°E to 164°E East Antarctica</t>
  </si>
  <si>
    <t>ICE-SHEET; PRYDZ BAY; HISTORY; DRIFTS</t>
  </si>
  <si>
    <t>The Australian Antarctic and Southern Ocean Profiling Project has acquired more than 20000 km of north-south seismic reflection transects every 90 km along the East Antarctic continental margin between 38 degrees E to 164 degrees E. These data provide a unique overview of the broad scale depositional patterns around a large part of the Antarctic margin. Each line was examined and the post-rift section classified according to depositional environment. The depositional environments recognised are: 1. Submarine fans. 2. Contourite drift and canyon complexes. 3. Mixed contourite-turbidite drift sediments. 4. Thin separated drifts. 5. Non-deposition and erosion of older sediments. 6. Prograding upper slope wedges. 7. Distal abyssal plain deposits. We have recognised nine sedimentary provinces on the continental slope and rise, based on the relative dominance of these environments. The distribution of contourite deposits is controlled by sediment input from the continent and by the shape of the margin. Prydz Bay has provided a large amount of sediment over a long period, producing the thickest post-rift sediment pile on the margin. It has been suggested that major sediment inputs have taken place via the Wilkes sub-glacial Basin, the Aurora Basin and Prydz Bay through the Lambert Graben. Our examination of the data implies that only Pryclz Bay, western Enderby Land and the area at about Latitude 120 degrees E have received large influxes of sediment, with western Enderby Land being relatively inactive during the Neogene. Sediment thicknesses are large when compared to the conjugate margin of Australia.</t>
  </si>
  <si>
    <t>Geosci Australia, GPO Box 378, Canberra, ACT 2601, Australia</t>
  </si>
  <si>
    <t>Geoscience Australia</t>
  </si>
  <si>
    <t>Geosci Australia, GPO Box 378, Canberra, ACT 2601, Australia.</t>
  </si>
  <si>
    <t>Phil.OBrien@ga.gov.au</t>
  </si>
  <si>
    <t>10.1007/3-540-32934-X_42</t>
  </si>
  <si>
    <t>WOS:000236632500042</t>
  </si>
  <si>
    <t>On seismic strain-release within the Antarctic plate</t>
  </si>
  <si>
    <t>BELLINGSHAUSEN SEA; EARTHQUAKE</t>
  </si>
  <si>
    <t>Seismic strain release on the Antarctic continent takes place at a much lower rate than in other continental, intraplate areas. Tectonic and glaciogenic forces controlling this observed distribution have previously been discussed in terms of the Antarctic continent only. Improved locations of large earthquakes in the surrounding, oceanic, Antarctic Plate show that a number of these events, including the great 25 March 1998 earthquake occurring between New Zealand and Antarctica, have intraplate settings. Such large episodes of strain-release suggest that it is more appropriate to address controls on Antarctic seismicity by considering the entire plate, including both the central region of continental crust and the surrounding oceanic crust. The catalogued seismicity for 20 years, between 1981 and 2000, is presented for the whole Antarctic Plate together with a discussion of the tectonic settings of the largest continental events and the oceanic events occurring during the same period. The forces acting on the oceanic and continental regions are discussed in the context of the unique tectonic setting of the Antarctic Plate, which is surrounded almost entirely by ocean-ridges. A correspondance exists between regions of low continental seismicity and the most extensive regions of surrounding oceanic Antarctic Plate. This suggests that the oceanic region, acting as a buffer in some places against plate boundary influences on the Antarctic continent, is an additional factor in controlling the distribution of seismicity.</t>
  </si>
  <si>
    <t>10.1007/3-540-32934-X_43</t>
  </si>
  <si>
    <t>WOS:000236632500043</t>
  </si>
  <si>
    <t>Scheinert, M; Ivins, E; Dietrich, R; Rülke, A</t>
  </si>
  <si>
    <t>Vertical crustal deformation in Dronning Maud Land, Antarctica:: Observation versus model prediction</t>
  </si>
  <si>
    <t>ICE-SHEET; EVOLUTION</t>
  </si>
  <si>
    <t>During the last decade a variety of geodetic observations have been carried out in central Dronning Maud Land, East Antarctica, in order to investigate geodynamic and glaciologic phenomena. Of special interest is the interaction of recent and historic ice mass changes and the vertical crustal deformation, which is characterized by the theological properties of the Earth, especially of the crust and the upper mantle. The geodetic information may help to constrain the recent isostatic uplift pattern, the recent and - using additional age information - past ice sheet configuration in central Dronning Maud Land. Coupling the geodetic data with these additional constraints on recent and past ice mass changes allows a self-consistent glacial load history to be investigated. A spectrum of viable load histories will be examined and the respective isostatic deformation signature will be computed,using a flat earth approach. First model computations will be presented and discussed, aiming to reconcile the modelled vertical uplift signature and the observations.</t>
  </si>
  <si>
    <t>Tech Univ Dresden, Inst Planetare Geodasie, Helmholtzstr 10, D-01062 Dresden, Germany; CALINST TECH, Jet Propulsion Lab, Pasadena, CA 91109 USA</t>
  </si>
  <si>
    <t>Technische Universitat Dresden; National Aeronautics &amp; Space Administration (NASA); NASA Jet Propulsion Laboratory (JPL)</t>
  </si>
  <si>
    <t>Tech Univ Dresden, Inst Planetare Geodasie, Helmholtzstr 10, D-01062 Dresden, Germany.</t>
  </si>
  <si>
    <t>mikro@ipg.geo.tu-dresden.de</t>
  </si>
  <si>
    <t>Scheinert, Mirko/0000-0002-0892-8941</t>
  </si>
  <si>
    <t>10.1007/3-540-32934-X_44</t>
  </si>
  <si>
    <t>WOS:000236632500044</t>
  </si>
  <si>
    <t>Kanao, M; Kaminuma, K</t>
  </si>
  <si>
    <t>Seismic activity associated with surface environmental changes of the earth system, around Syowa Station, East Antarctica</t>
  </si>
  <si>
    <t>The Japanese Antarctic Station, Syowa (69 degrees S, 39 degrees E; SYO), is located on Lutzow-Holm Bay of western Enderby Land, East Antarctica. Seismic observations at SYO started in 1959, and the arrival-times of the major phases for teleseismic events have been reported from the National Institute of Polar Research every year since 1968. Here, we summarize records from local earthquakes around SYO in the last three decades. In particular, the fifteen years since 1987 divided into three periods are examined in detail, with respect to the location of epicenters and estimation of magnitudes. A three-station seismic array was deployed around SYO in 1987-1989. By using these data, epicenters of local earthquakes were determined for the first time. Many different types of earthquakes, such as a mainshock-aftershock sequence, twin earthquake, and earthquake swarms were detected and clearly identified. The seismic activity during this period was higher than that of the following decade. Earthquake location was concentrated along the coast and central Lutzow-Holm Bay. In the next period between 1990-1996, nine local earthquakes were classified in many different types. The seismicity during this period was very low and magnitudes ranged from 0.1 to 1.4. Hypocenters of four earthquakes out of nine were localized in Lutzow-Holm Bay and its northeastern coastal area by a single station method using SYO data. One local event was detected in 1997, two events in 1998 and one event in 2001 and 2003, respectively. The low seismic activity has continued to date (December 2003). The observed offshore location and low level off seismic activity is consistent with a glaciogenic component to the stress field causing the earthquakes.</t>
  </si>
  <si>
    <t>Natl Inst Polar Res, Dept Earth Sci, Itabashi Ku, 9-10 Kaga-1, Tokyo 1738515, Japan</t>
  </si>
  <si>
    <t>Kanao, M (corresponding author), Natl Inst Polar Res, Dept Earth Sci, Itabashi Ku, 9-10 Kaga-1, Tokyo 1738515, Japan.</t>
  </si>
  <si>
    <t>kanao@nipr.ac.jp; kaminuma@nipr.ac.jp</t>
  </si>
  <si>
    <t>10.1007/3-540-32934-X_45</t>
  </si>
  <si>
    <t>WOS:000236632500045</t>
  </si>
  <si>
    <t>Greku, RK; Usenko, VP; Greku, TR</t>
  </si>
  <si>
    <t>Geodynamic features and density structure of the earths interior of the Antarctic and surrounded regions with the gravimetric tomography method</t>
  </si>
  <si>
    <t>This paper presents the Earth's interior data of the Antarctic and surrounding regions obtained through the gravimetric tomography method developed by the authors and destined for reconstruction and displaying the structural geological inhomogeneities in different layers. Characteristics of the global geoid height model's spherical harmonics are the input data for the method. They are both used for determination of the layers' depths disturbing geopotential and for computing of harmonic dense anomalies. Vertical and lateral sections calculated show a distribution of masses in all range of depths up to 5300 km,geometry and sizes of density inhomogeneities, their displacement in depth under the impact of geodynamic processes, and also correlation of subsurface bodies with the known topographic features. A significant difference between geodynamic processes in geospheres of the core, mantle and crust is emphasized.</t>
  </si>
  <si>
    <t>Natl Acad Sci Ukraine, Inst Geol Sci, 55B Gonchara Str, UA-01054 Kiev, Ukraine</t>
  </si>
  <si>
    <t>National Academy of Sciences Ukraine; Institute of Geological Sciences, National Academy of Sciences of Ukraine</t>
  </si>
  <si>
    <t>Greku, RK (corresponding author), Natl Acad Sci Ukraine, Inst Geol Sci, 55B Gonchara Str, UA-01054 Kiev, Ukraine.</t>
  </si>
  <si>
    <t>satmar@svitonline.com</t>
  </si>
  <si>
    <t>10.1007/3-540-32934-X_46</t>
  </si>
  <si>
    <t>WOS:000236632500046</t>
  </si>
  <si>
    <t>Meloni, A; Gaya-Piqué, LR; De Michelis, P; De Santis, A</t>
  </si>
  <si>
    <t>Some recent characteristics of geomagnetic secular variations in Antarctica</t>
  </si>
  <si>
    <t>FIELD; JERK</t>
  </si>
  <si>
    <t>Some of the most interesting features of the Earth's magnetic field and of its time variations are displayed in polar areas, where the geomagnetic field dipole poles are located. Space time models of the geomagnetic field give a mathematical description that allows generally to undertake a common epoch time reduction of magnetic surveys and to extract magnetic anomaly maps after removing the main part of the geomagnetic field; in addition in polar regions geomagnetic field models allow to follow the location of the geomagnetic dip poles in their time wandering. In this work the development of a dedicated regional magnetic reference model for Antarctica (Antarctic Reference Model, ARM) is presented and compared to the well known IGRF (International Geomagnetic Reference Field) model and it is shown that the first is more appropriate to better study the behaviour of secular variation and its unusual characteristics as observed in Antarctica. Moreover single and multi-station analyses have been applied to the longest available time series of geomagnetic data for Antarctica in order to investigate the most interesting behaviour of secular variation: the geomagnetic jerks. It was found that geomagnetic jerks are also detectable in Antarctica and that they show a peculiar space time structure.</t>
  </si>
  <si>
    <t>INGV, Via Vigna Murata 605, I-00143 Rome, Italy; Observ Ebre, Roquetes 43520, Spain</t>
  </si>
  <si>
    <t>Istituto Nazionale Geofisica e Vulcanologia (INGV); Universitat Ramon Llull; Ebre Observatory</t>
  </si>
  <si>
    <t>INGV, Via Vigna Murata 605, I-00143 Rome, Italy.</t>
  </si>
  <si>
    <t>meloni@ingv.it</t>
  </si>
  <si>
    <t>10.1007/3-540-32934-X_47</t>
  </si>
  <si>
    <t>WOS:000236632500047</t>
  </si>
  <si>
    <t>Greku, R; Milinevsky, G; Ladanovsky, Y; Bakhmach, P; Greku, T</t>
  </si>
  <si>
    <t>Topographic and geodetic research by GPS, echosounding and ERS altimetric, and SAR interferometric surveys during Ukrainian Antarctic expeditions in the west Antarctic</t>
  </si>
  <si>
    <t>The region of the Ukrainian Antarctic geodetic and topographic surveys is the transition zone, which includes the Antarctic Peninsula with ice streams; large longitudinal fractures known as the Grandidier, Penola and Bransfield straits, separating the island part of the wide shelf from the Peninsula; small archipelagos appear as a result of the ancient ice shelf movement overlapping tectonic processes; and the open sea of the Pacific Ocean's south-eastern margin. Such physiographic diversity of the region causes a necessity to use different geodetic research methods. The Ukrainian Vernadsky Station (former British Faraday Station) is located at the middle part of the region on the Galindez Island of the Argentine archipelago. Following investigations in this area were carried out under the auspices of the Ukrainian Antarctic Centre within the Ukrainian Antarctic Research State Program for the SCAR GIANT (Geodetic Infrastructure of Antarctic), ANTEC (Neotectonics of Antarctic) and IBCSO (international Bathymetric Chart of the Southern Ocean) Projects: Several days duration seasonal GPS observations at the SCAR GPS 2002 site on Galindez Island; Repeated GPS observations on the British triangulation markers and extension of the geodetic network on the islands; Large-scale mapping of islands' topography and terrestrial photogrammetry survey of the island ice cliffs; Echosounding of the Argentine archipelago's seabed in unsurveyed shallow water; Mapping of the Flask Glacier ice stream of the Antarctic Peninsula using ERS Synthetic Aperture Radar (SAR) interferometry data; Geoid determination of the Bellingshausen Sea based on altimeter data for geological purposes. As a result of the research different maps of the bottom topography by echosoundings, of the island relief by GPS observations, of topographic features of the moving glacier by the satellite data were created. The mass balance of the island's ice cap by unconventional terrestrial photogrammetric technique was also studied.</t>
  </si>
  <si>
    <t>Natl Acad Sci Ukraine, Inst Geol Sci, 55B Gonchara St, UA-01054 Kiev, Ukraine; Ukrainian Antarctic Ctr, Kiev, Ukraine; ECOMM Co, UA-01133 Kiev, Ukraine</t>
  </si>
  <si>
    <t>National Academy of Sciences Ukraine; Institute of Geological Sciences, National Academy of Sciences of Ukraine; Ministry of Education &amp; Science of Ukraine; State Institution National Antarctic Scientific Center</t>
  </si>
  <si>
    <t>Natl Acad Sci Ukraine, Inst Geol Sci, 55B Gonchara St, UA-01054 Kiev, Ukraine.</t>
  </si>
  <si>
    <t>satmar@svitonline.com; antarc@carrier.kiev.ua; lada@ecomm.kiev.ua</t>
  </si>
  <si>
    <t>Milinevsky, Gennadi/AAD-8801-2019</t>
  </si>
  <si>
    <t>Milinevsky, Gennadi/0000-0002-2342-2615</t>
  </si>
  <si>
    <t>Ukrainian Antarctic Centre</t>
  </si>
  <si>
    <t>Authors would like to thank the ESA for releasing the ERS-1 altimeter data and ERS-1/2 SAR SLCI images and the British Antarctic Survey and the U.K. Hydrographic Office whose sounding data were used for investigation of the archipelago's seabed. We thank Claudia Depenthal from the Geodetic Institute of the University of Karlsruhe who installed the antenna marker of the SCAR GPS 2002 geodetic station. The authors would also like to thank two anonymous reviewers for theirs remarks and valuable comments. These researches were supported by the Ukrainian Antarctic Centre.</t>
  </si>
  <si>
    <t>10.1007/3-540-32934-X_48</t>
  </si>
  <si>
    <t>WOS:000236632500048</t>
  </si>
  <si>
    <t>Berrocoso, M; Fernández-Ros, A; Torrecillas, C; de Salamanca, JME; Ramírez, ME; Pérez-Peña, A; González, MJ; Páez, R; Jiménez, Y; García-García, A; Tárraga, M; García-García, F</t>
  </si>
  <si>
    <t>Geodetic research on Deception Island</t>
  </si>
  <si>
    <t>ANTARCTICA</t>
  </si>
  <si>
    <t>Deception Island (62.93 degrees S, 60.57 degrees W) is one of the few active volcanoes in the Antarctica, whose most recent eruptions took place in 1842, 1967, 1969 and 1970. In the following paper geodetic investigations carried out in this area during the last years are described. During the continuous Spanish campaigns in Antarctica, several scientific groups have developed different projects in order to control deformation the island suffers as a result of its volcanic activity. With this purpose, a geodetic network has been designed and improved. Nowadays, the network consists of twelve stations around Port Foster which are provided with WGS-84 geodetic coordinates with respect to the ITRF2000, and another station at the Spanish Base Juan Carlos I on Livingston Island. Time analysis of these coordinates will lead us to get the horizontal deformation model. On the other hand, a levelling network has been designed to obtain the vertical deformation model. This network is denser in those areas where the volcanic activity is stronger, as at Fumarole Bay and the Hill of Obsidians. GPS, levelling and gravimetric measurements have also been collected in secondary points to obtain an experimental geoid model which makes possible an adequate reference frame for physical applications.</t>
  </si>
  <si>
    <t>manuel.berrocoso@uca.es</t>
  </si>
  <si>
    <t>Garcia, Francisco/ABG-8876-2020; Jimenez-Teja, Yolanda/D-5933-2011; Messier, Claude/A-2322-2008; Páez Jiménez, Raúl/L-1041-2014; Torrecillas, Cristina/D-9178-2011; BERROCOSO, MANUEL MBD/O-3818-2014; Gonzalez Fuentes, Maria Jose/K-4725-2014</t>
  </si>
  <si>
    <t>Jimenez-Teja, Yolanda/0000-0002-6090-2853; Páez Jiménez, Raúl/0000-0003-4617-261X; Torrecillas, Cristina/0000-0002-3650-3174; Gonzalez Fuentes, Maria Jose/0000-0002-4013-6899</t>
  </si>
  <si>
    <t>10.1007/3-540-32934-X_49</t>
  </si>
  <si>
    <t>WOS:000236632500049</t>
  </si>
  <si>
    <t>Torrecillas, C; Berrocoso, M; García-García, A</t>
  </si>
  <si>
    <t>The multidisciplinary scientific information support system (SIMAC) for Deception Island</t>
  </si>
  <si>
    <t>Spain has been taking part in Antarctic research through annual austral summer campaigns since 1987. The volcanic Deception Island in the South Shetland Islands is one of the main working areas. The information collected is numerous and diverse so in many cases is the same one. Also, this information is stored in several alphanumeric and graphic digital formats, and the maps are made in different geodetic and cartographic representation systems. The fundamental data are unified and integrated in SIMAC, a unique information system that can to be used as a gate through which the various scientific groups working on Deception Island may exchange data. SIMAC is an example of an Information System applied to Earth Sciences.</t>
  </si>
  <si>
    <t>Univ Cadiz, Fac Ciencias, Dept Matemat, Lab Astron &amp; Geodesia, Cadiz, Spain</t>
  </si>
  <si>
    <t>Torrecillas, C (corresponding author), Univ Cadiz, Fac Ciencias, Dept Matemat, Lab Astron &amp; Geodesia, Campus Rio San Pedro, Cadiz, Spain.</t>
  </si>
  <si>
    <t>BERROCOSO, MANUEL MBD/O-3818-2014; Torrecillas, Cristina/D-9178-2011</t>
  </si>
  <si>
    <t>Torrecillas, Cristina/0000-0002-3650-3174</t>
  </si>
  <si>
    <t>10.1007/3-540-32934-X_50</t>
  </si>
  <si>
    <t>WOS:000236632500050</t>
  </si>
  <si>
    <t>Grobe, H; Diepenbroek, M; Dittert, N; Reinke, M; Sieger, R</t>
  </si>
  <si>
    <t>Archiving and distributing earth-science data with the PANGAEA information system</t>
  </si>
  <si>
    <t>PANGAEA Publishing Network for Geoscientific and Environmental Data (http://www.pangaea.de) is an information system aimed at archiving, publishing, and distributing data related to climate variability;the marine environment and the solid earth. The system is a public data library distributing any kind of data to the scientific community through the Internet. Data are stored in a relational database in a consistent format with related meta-information following international standards. Data are georeferenced in space and/or time, individually configured subsets may be extracted. Any type of information, data and documents may be served (profiles, maps, photos, graphics, text and numbers). Operation by Alfred Wegener Institute for Polar and Marine Research (AWI) and Center for Marine Environmental Sciences (MARUM) is assured in the long-term. Both institutions provide the technical infrastructure, system management and support for data management of projects as well as for individual scientists. Most important collections from Antarctic research archived in PANGAEA so far are the data of the Cape Roberts Project, geological maps and age determinations of rock outcrops, a complete set of JGOFS,WOCE, DSDP and ODP data including those from the Southern Ocean, any marine sediment cores, documentation and analytical data from German expeditions and an increasing inventory of data published by the running EPICA project.</t>
  </si>
  <si>
    <t>Alfred Wegener Inst Polar &amp; Marine Res, Alten Hafen 26, D-27568 Bremerhaven, Germany; Ctr Marine Environm Sci, D-28359 Bremen, Germany</t>
  </si>
  <si>
    <t>Grobe, H (corresponding author), Alfred Wegener Inst Polar &amp; Marine Res, Alten Hafen 26, D-27568 Bremerhaven, Germany.</t>
  </si>
  <si>
    <t>hgrobe@awi-bremerhaven.de</t>
  </si>
  <si>
    <t>Sieger, Rainer/0000-0002-9175-884X</t>
  </si>
  <si>
    <t>German Ministry for Education and Research; State of Bremen</t>
  </si>
  <si>
    <t>German Ministry for Education and Research(Federal Ministry of Education &amp; Research (BMBF)); State of Bremen</t>
  </si>
  <si>
    <t>We are grateful to Roy Lowry and Hartmut Schulz for review and comments. Technical infrastructure and operation of the system is ensured by the computer centre of the Alfred Wegener Institute for Polar and Marine Research (AWI). AWI is a Helmholtz Research Centre, funded by the German Ministry for Education and Research and the State of Bremen.</t>
  </si>
  <si>
    <t>10.1007/3-540-32934-X_51</t>
  </si>
  <si>
    <t>WOS:000236632500051</t>
  </si>
  <si>
    <t>Hanfland, C; Geibert, W; Voge, I</t>
  </si>
  <si>
    <t>Tracing marine processes in the Southern Ocean by means of naturally occurring radionuclides</t>
  </si>
  <si>
    <t>ATLANTIC SECTOR; RA-228; TRACER; TH-234; WATER</t>
  </si>
  <si>
    <t>Members of the naturally occurring decay series are found throughout the world's oceans, though in activities that vary by several orders of magnitude within the same decay series. They can be distinguished on the basis of their overall reactivity - e.g., adsorption or incorporation - with particles. Physical and biogeochemical processes in the water column, and close to the sediment-water interface, lead to fractionation of mother and daughter nuclides and hence create disequilibria in the decay series. These disequilibria have become powerful tools in the study of marine processes. In order to illustrate their use in marine sciences, three examples are presented for the Atlantic sector of the Southern Ocean. For the group of particle-reactive radionuclides, the distribution of the short-lived isotope Th-234 (half-life 24.1 days) is used as a measure of export fluxes from the photic layer. Ra-228 and Ac-227 (half-lives 5.8 and 21.7 years, respectively), belong to the more soluble nuclides. In contrast to Th-234, they are hardly found in the particulate fraction of a sea water sample but instead exist in the dissolved state. Ra-228 is indicative of shelf water input while Ac-227 is a tracer for upwelling deep water masses.</t>
  </si>
  <si>
    <t>Alfred Wegener Inst Polar &amp; Marine Res, Handelshafen 12, D-27570 Bremerhaven, Germany</t>
  </si>
  <si>
    <t>chanfland@awi-bremerhaven.de</t>
  </si>
  <si>
    <t>Geibert, Walter/ABA-9785-2020; Geibert, Walter/C-3722-2011</t>
  </si>
  <si>
    <t>Geibert, Walter/0000-0001-8646-2334;</t>
  </si>
  <si>
    <t>Deutsche Forschungsgemeinschaft (DFG) [RU 712/1, GE 1118/2-2]</t>
  </si>
  <si>
    <t>Deutsche Forschungsgemeinschaft (DFG)(German Research Foundation (DFG))</t>
  </si>
  <si>
    <t>The authors gratefully acknowledge the efficient technical assistance of the crew of RV Polarstern during the sampling program. This work was supported by Deutsche Forschungsgemeinschaft (DFG grants no. RU 712/1 and GE 1118/2-2). Thanks are due to Adrian Webb and Steve Boger for proof-reading of the manuscript. The authors are grateful to M. Rutgers van der Loeff and one anonymous reviewer for helpful comments on the manuscript.</t>
  </si>
  <si>
    <t>10.1007/3-540-32934-X_52</t>
  </si>
  <si>
    <t>WOS:000236632500052</t>
  </si>
  <si>
    <t>Matsuoka, H; Funaki, M</t>
  </si>
  <si>
    <t>Normalized remanence in Sediments from Offshore Wilkes Land, East Antarctica</t>
  </si>
  <si>
    <t>EARTHS MAGNETIC-FIELD; RELATIVE GEOMAGNETIC PALEOINTENSITY; ODP SITE 983; NORTH-ATLANTIC; JARAMILLO SUBCHRON; INTENSITY; PACIFIC; RECORDS; DEEP; KA</t>
  </si>
  <si>
    <t>In order to investigate the long-term changes of the geomagnetic field intensity in the Antarctic region, paleomagnetic and rock-magnetic studies have been conducted on a deep-sea sediment core obtained from offshore Wilkes Land, East Antarctica. The core covers the last about 1.1 Ma. Stepwise alternating-field (AF) demagnetization of natural remanent magnetization (NRM) revealed that a great majority of samples are characterized by a single stable component of magnetization, sometimes associated with a secondary component completely demagnetized by a 30 mT AF field. Downcore changes of magnetic concentration represented by magnetic susceptibility (chi) and anhysteretic remanent magnetization (ARM) are a factor of five or less. Variations in magnetic grain size and coercivity are estimated to be small from ratio of ARM to X and median destructive fields of ARM respectively. These results demonstrate that the core is rock-magnetically homogeneous, and thus could be considered to yield relative paleointensity record. The ratio of the NRM demagnetized at 30 mT (NRM30MT) versus the ARM demagnetized at 30 mT (ARM(30mT)), which is the reasonable parameter to eliminate the effects of the secondary remanence, is interpreted as our best approximation for paleointensity estimation. Absence of correlation between the normalized intensity (NRM30mT/ARM(30mT)) and the normalizer (ARM(30mT)) shows the appropriateness of the normalization. The obtained record is similar in general to other worldwide marine records. Such a global synchronicity might be attributed to dipole intensity changes.</t>
  </si>
  <si>
    <t>Gakushuin Univ, Ctr Comp, Toshima Ku, 1-5-1 Mejira, Tokyo 1718588, Japan; Natl Inst Polar Res, Itabashi Ku, Tokyo 1738515, Japan</t>
  </si>
  <si>
    <t>Gakushuin University; Research Organization of Information &amp; Systems (ROIS); National Institute of Polar Research (NIPR) - Japan</t>
  </si>
  <si>
    <t>Matsuoka, H (corresponding author), Gakushuin Univ, Ctr Comp, Toshima Ku, 1-5-1 Mejira, Tokyo 1718588, Japan.</t>
  </si>
  <si>
    <t>10.1007/3-540-32934-X_53</t>
  </si>
  <si>
    <t>WOS:000236632500053</t>
  </si>
  <si>
    <t>Pistolato, M; Quaia, T; Marinoni, L; Vitturi, LM; Salvi, C; Salvi, G; Setti, M; Brambati, A</t>
  </si>
  <si>
    <t>Grain size, mineralogy and geochemistry in late quaternary sediments from the western Ross Sea outer slope as proxies for climate changes</t>
  </si>
  <si>
    <t>CLAY</t>
  </si>
  <si>
    <t>Textural, mineralogical and geochemical investigations of three sedimentary sequences from the Ross Sea continental slope allow to give some important indications on climatic and environmental changes occurred during the Late Quaternary. The cores show cyclical changes in several proxies (grain size, mineralogical and geochemical parameters) which are in phase with glacial/interglacial changes (MIS 1-8). Such fluctuations are supposed to be driven by changes in transport mechanisms, reworking and provenance of the material, as well as by changes in direction and strength of marine currents induced by variations in the ice coverage.</t>
  </si>
  <si>
    <t>Univ Venice, Dipartimento Sci Ambientali, Dorsoduro 2137, I-30123 Venice, Italy; Univ Trieste, Dipartimento Sci Geologiche, Ambientali &amp; Marine, I-34127 Trieste, Italy; Univ Pavia, Dipartimento Scie della Terra, I-27100 Pavia, Italy</t>
  </si>
  <si>
    <t>Universita Ca Foscari Venezia; University of Trieste; University of Pavia</t>
  </si>
  <si>
    <t>Univ Venice, Dipartimento Sci Ambientali, Dorsoduro 2137, I-30123 Venice, Italy.</t>
  </si>
  <si>
    <t>Italian Programma Nazionale di Ricerche in Antartide (PNRA)</t>
  </si>
  <si>
    <t>This work was carried out with the financial support of the Italian Programma Nazionale di Ricerche in Antartide (PNRA). We are grateful to Renata G. Lucchi and to the anonymous referee who greatly improved our manuscript.</t>
  </si>
  <si>
    <t>10.1007/3-540-32934-X_54</t>
  </si>
  <si>
    <t>WOS:000236632500054</t>
  </si>
  <si>
    <t>Barker, P; Thomas, E</t>
  </si>
  <si>
    <t>Potential of the Scotia Sea region for determining the onset and development of the Antarctic circumpolar current</t>
  </si>
  <si>
    <t>DRAKE PASSAGE; GLOBAL CLIMATE; SOUTH ATLANTIC; EVOLUTION; OCEAN; PALEOCEANOGRAPHY; GLACIATION; WATER</t>
  </si>
  <si>
    <t>The strength of interaction between tectonics, ocean circulation and climate is a major concern of palaeoclimate research. To evaluate the strength, we must assess the time of onset and development of the Antarctic Circumpolar Current (ACC) and its likely effects on climate, particularly Antarctic glaciation. Developments in numerical climate modelling, marine geology, tectonics and physical oceanography have cast doubt on widely held assumptions of a causal relationship between the ACC and glacial onset, in the Eocene-Oligocene boundary interval. Here we argue that our best chance to determine ACC onset and development is in the Scotia Sea region (Drake Passage), south of South America. There lies the greatest tectonic uncertainty; concerning when a complete deep-water circumpolar pathway was created, and (thus) when the ACC developed as we know it today. There also, the ACC is topographically constrained, and key factors (water mass and sediment distributions, sea-floor spreading history) are sufficiently well known. Determination of the time of onset would enable solution of other questions, such as the nature of Southern Ocean circulation and primary productivity in any period (possibly Oligocene and early Miocene) when Antarctica was glaciated but before a complete circumpolar deep-water pathway existed, and the extent to which ocean circulation changes affected palaeoclimate, particularly Antarctic glaciation. We assess the parameters that might be capable of determining ACC onset, and show that suitable sedimentary records are available in the Scotia Sea region.</t>
  </si>
  <si>
    <t>Threshers Barn, Clun SY7 8QE, Shrops, England; Yale Univ, Ctr Study Global Change, Dept Geol &amp; Geophys, New Haven, CT 06520 USA</t>
  </si>
  <si>
    <t>Yale University</t>
  </si>
  <si>
    <t>Threshers Barn, Clun SY7 8QE, Shrops, England.</t>
  </si>
  <si>
    <t>pfbarker@tiscali.co.uk</t>
  </si>
  <si>
    <t>Thomas, Ellen/JVO-1734-2024</t>
  </si>
  <si>
    <t>Thomas, Ellen/0000-0002-7141-9904</t>
  </si>
  <si>
    <t>NSF [EAR-0120727]</t>
  </si>
  <si>
    <t>We are grateful for the comments of Dieter Futterer and anonymous reviewers. PFB thanks the Trans-Antarctic Association for funding his attendance at 9th ISAES. ET thanks NSF for partial funding for her research by Grant EAR-0120727.</t>
  </si>
  <si>
    <t>10.1007/3-540-32934-X_55</t>
  </si>
  <si>
    <t>WOS:000236632500055</t>
  </si>
  <si>
    <t>Maldonado, A; Barnolas, A; Bohoyo, F; Escutia, C; Galindo-Zaldivar, J; Hernández-Molina, J; Jabaloy, A; Lobo, FJ; Nelson, CH; Rodríguez-Fernández, J; Somoza, L; Suriñach, E; Vázquez, JT</t>
  </si>
  <si>
    <t>Seismic stratigraphy of miocene to recent sedimentary deposits in the central Scotia Sea and northern Weddell Sea:: Influence of bottom flows (Antarctica)</t>
  </si>
  <si>
    <t>CIRCUMPOLAR CURRENT; WATER CIRCULATION; BASIN DEVELOPMENT; DEEP; TECTONICS</t>
  </si>
  <si>
    <t>Multichannel and high resolution seismic profiles from the central Scotia Sea and northern Weddell Sea show a sequence of seismic units interpreted to be the result of high-energy bottom currents. The seismic character of the units is indicative of active bottom flows,which developed extensive drifts under the influence of the Weddell Sea Bottom Water (WSBW) and the Antarctic Circumpolar Current (ACC). The opening of the connection between Jane Basin and the Scotia Sea is marked by a major regional unconformity that recorded a reorganization of bottom flows. The uppermost deposits are characterized by intensified bottom currents, which may reflect increased production of WSBW.</t>
  </si>
  <si>
    <t>Univ Granada, Inst Andaluz Ciencias Tierra, CSIC, Granada 18002, Spain</t>
  </si>
  <si>
    <t>Consejo Superior de Investigaciones Cientificas (CSIC); CSIC - Instituto Andaluz de Ciencias de la Tierra (IACT); University of Granada</t>
  </si>
  <si>
    <t>Univ Granada, Inst Andaluz Ciencias Tierra, CSIC, Granada 18002, Spain.</t>
  </si>
  <si>
    <t>Vazquez, Juan-Tomas/T-6271-2019; Bohoyo, Fernando/AAZ-5990-2021; Lobo, Francisco José/J-9836-2012; Vazquez, Juan-Tomas/L-7796-2014; JABALOY SANCHEZ, ANTONIO/L-2955-2014; Galindo-Zaldivar, Jesus/K-3640-2012; vasquez, juan/JCN-9608-2023; Surinach, Emma/C-5896-2008; Escutia, Carlota/B-8614-2015; Somoza, Luis/C-1400-2010; Bohoyo, Fernando/C-1062-2011; RODRIGUEZ-FERNANDEZ, JOSE/L-7077-2014</t>
  </si>
  <si>
    <t>Vazquez, Juan-Tomas/0000-0002-3747-4838; Bohoyo, Fernando/0000-0002-1044-8816; Lobo, Francisco José/0000-0002-3294-7202; Vazquez, Juan-Tomas/0000-0002-3747-4838; JABALOY SANCHEZ, ANTONIO/0000-0001-5830-5913; Galindo-Zaldivar, Jesus/0000-0002-3493-2637; Somoza, Luis/0000-0001-5451-2288; Bohoyo, Fernando/0000-0002-1044-8816; Barnolas, Antonio/0000-0002-4124-3426; RODRIGUEZ-FERNANDEZ, JOSE/0000-0003-0349-9209</t>
  </si>
  <si>
    <t>10.1007/3-540-32934-X_56</t>
  </si>
  <si>
    <t>WOS:000236632500056</t>
  </si>
  <si>
    <t>Wagner, B; Cremer, H</t>
  </si>
  <si>
    <t>Limnology and sedimentary record of Radok Lake, Amery Oasis, East Antarctica</t>
  </si>
  <si>
    <t>PRINCE-CHARLES-MOUNTAINS; LARSEMANN HILLS; DIATOM FLORA; RESPONSES; BEAVER</t>
  </si>
  <si>
    <t>Radok Lake in Amery Oasis, East Antarctica, has a water depth of ca. 360 m, making it the deepest non-subglacial lake in Antarctica. Limnological analyses revealed that the lake had,despite a 3 m thick ice cover, a completely mixed water column during austral summer 2001/2002. High oxygen contents, low ion concentrations, and lack of planktonic diatoms throughout the water column indicate that Radok Lake is ultra-oligotrophic today. The late glacial and postglacial lake history is documented in a succession of glacial, glaciolimnic, and limnic sediments at different locations in the lake basin. The sediments record regional differences and past changes in allochthonous sediment supply and lake productivity. However, the lack of age control on these changes, due to extensive sediment redeposition and the lack of applicable dating methods, excluded Radok Lake sediments for advanced paleoenvironmental reconstructions.</t>
  </si>
  <si>
    <t>Univ Leipzig, Inst Geophys &amp; Geol, Talstr 35, D-04103 Leipzig, Germany; Univ Utrecht, Dept Palaeoecol, Lab Palaeobotany &amp; Palynol, NL-3584 CD Utrecht, Netherlands; Netherlands Org Appl Sci Res TNO, Geolog Survey Netherlands, NL-3584CB Utrecht, Netherlands</t>
  </si>
  <si>
    <t>Leipzig University; Utrecht University; Netherlands Organization Applied Science Research</t>
  </si>
  <si>
    <t>Univ Leipzig, Inst Geophys &amp; Geol, Talstr 35, D-04103 Leipzig, Germany.</t>
  </si>
  <si>
    <t>wagnerb@rz.uni-leipzig.de; holger.cremer@tno.nl</t>
  </si>
  <si>
    <t>Wagner, Bernd/J-4682-2012</t>
  </si>
  <si>
    <t>Wagner, Bernd/0000-0002-1369-7893</t>
  </si>
  <si>
    <t>Deutsche Forschungsgemeinschaft [1169/4]; Australian Antarctic Science Advisory Committee (ASAC) [1071]</t>
  </si>
  <si>
    <t>Deutsche Forschungsgemeinschaft(German Research Foundation (DFG)); Australian Antarctic Science Advisory Committee (ASAC)</t>
  </si>
  <si>
    <t>The project was initiated by Martin Melles (University Leipzig, Germany) and Damian Gore (Macquarie University, Sydney). It was funded by the Deutsche Forschungsgemeinschaft (Grant Me 1169/4) and the Australian Antarctic Science Advisory Committee (ASAC Grant 1071). Special thanks are due to Martin Klug, Gerald Muller, Andy Cianchi, Margie Jenkin and Rob Ferguson for their assistance in the field. The data of the water contents and ion concentrations were provided by Nadja Hultzsch (Alfred Wegener Institute, Potsdam, Germany). The manuscript benefitted from comments of Damian Gore, Martin Melles, and an anonymous reviewer.</t>
  </si>
  <si>
    <t>10.1007/3-540-32934-X_57</t>
  </si>
  <si>
    <t>WOS:000236632500057</t>
  </si>
  <si>
    <t>Strelin, JA; Sone, T; Mori, J; Torielli, CA; Nakamura, T</t>
  </si>
  <si>
    <t>New data related to holocene landform development and climatic change from James Ross Island, Antarctic Peninsula</t>
  </si>
  <si>
    <t>GLACIAL HISTORY</t>
  </si>
  <si>
    <t>A survey of some relict and active landforms in the Lachman and Rink Crags areas of NW James Ross Island on the Antarctic Peninsula has yielded new evidence that provides a better understanding of the Holocene morphoclimatic evolution of this currently deglaciated sector of James Ross Island. Six Holocene (mainly land-grounded) glacial advances were delimited by these morphological and stratigraphic studies, dated at 6700-6400,4900-4400, and shortly after 3900 C-14 yr B.P., with three more recent advances, dated by regional correlations, that occurred between the Holocene regional climatic optimum (3900-3000 C-14 yr B.P.) and the Little Ice Age (ca. 300 C-14 yr B.P.). In some cases, ice-cored rock glacier formation followed the younger glacier advances. In recent decades, the significant climatic warming recorded in the NE region of James Ross Island has produced a number of changes in the periglacial and glacial landforms. Stone-banked terraces and lobes have developed in the Rink Crags, and protalus rampart formation has ceased in favor of protalus lobe development in the Cerro Triple area. Conical depressions filled with water have also increased in area over the surface of the Lachman II ice-cored rock glacier-threatening to destroy this landform.</t>
  </si>
  <si>
    <t>Univ Nacl Cordoba, Dept Geol Basica, Ciudad Univ, Avda Velez Sarsfield 1611, RA-5000 Cordoba, Argentina; Hokkaido Univ, Inst Low Temp Sci, Sapporo, Hokkaido 0600918, Japan; Hokkaido Univ, Grad Sch Engn, Sapporo, Hokkaido 0608628, Japan; Univ Nacl Cordoba, Dept Geol Basica, RA-5000 Cordoba, Argentina; Nagoya Univ, Dating &amp; Materials Res Ctr, Chikusa ku, Nagoya, Aichi 4648602, Japan</t>
  </si>
  <si>
    <t>National University of Cordoba; Hokkaido University; Hokkaido University; National University of Cordoba; Nagoya University</t>
  </si>
  <si>
    <t>Strelin, JA (corresponding author), Univ Nacl Cordoba, Dept Geol Basica, Ciudad Univ, Avda Velez Sarsfield 1611, RA-5000 Cordoba, Argentina.</t>
  </si>
  <si>
    <t>Sone, Toshio/D-9750-2012</t>
  </si>
  <si>
    <t>Agencia Nacional de Promocion Cientifica y Tecnologica; Direccion Nacional del Antartico Argentina [PICTO 2002 N 07-11573]</t>
  </si>
  <si>
    <t>Agencia Nacional de Promocion Cientifica y Tecnologica(ANPCyTSpanish Government); Direccion Nacional del Antartico Argentina</t>
  </si>
  <si>
    <t>We thank the Instituto Antartico Argentino (Buenos Aires), the Centro Austral de Investigaciones Cientificas (Ushuaia), Argentina, and the Institute of Low Tempera- ture Science, Hokkaido University (Sapporo), Japan, for the logistical and technical support. This work was partly funded by the Agencia Nacional de Promocion Cientifica y Tecnologica and Direccion Nacional del Antartico, grant PICTO 2002 N 07-11573, Argentina.</t>
  </si>
  <si>
    <t>10.1007/3-540-32934-X_58</t>
  </si>
  <si>
    <t>WOS:000236632500058</t>
  </si>
  <si>
    <t>Mori, J; Sone, T; Strelin, JA; Torielli, CA</t>
  </si>
  <si>
    <t>Surface movement of stone-banked lobes and terraces on Rink Crags Plateau, James Ross Island, Antarctic Peninsula</t>
  </si>
  <si>
    <t>DRAKENSBERG; LANDFORMS; AFRICA</t>
  </si>
  <si>
    <t>Rink Crags Plateau is located on the northwestern part of James Ross Island, northeast of Antarctic Peninsula. Stone-banked lobes and terraces of various sizes are developed in a 1 km(2) area of average 4 degrees slope upon the plateau. The largest lobes rise up to 5 m above the surrounding surface. Monitoring of painted markers upon the stone-banked lobes reveal that superficial movement of the tread surface was rapid on the central upper part of the lobes and terraces, whereas no movement was recorded near the risers. The solifluction velocity on the tread surface is up to 7.4 cm yr(-1). The lobes and terraces have a distinct frontal ridge. Three lobes were excavated and their internal structures were described. Coarse material accumulates on the riser slope and bank raise. The risers contain two layers of gravels of contrasting fabric. Wedge structures occur at the boundary between the frontal ridge and the tread. We propose that the formation of high risers upon gentle slopes results from rapid gelifluction movement. Differences in the internals structures described in this and previous studies suggest the process of formation is different to those previously proposed.</t>
  </si>
  <si>
    <t>Hokkaido Univ, Grad Sch Engn, Kita Ku, N13 W8, Sapporo, Hokkaido 0608628, Japan; Hokkaido Univ, Inst Low Temp Sci, Kita ku, Sapporo, Hokkaido 0600918, Japan; Inst Antartico Argentino, Ctr Austral Investigaciones Cientificas, RA-9410 Ushuaia, Argentina; Univ Nacl Cordoba, Ciudad Univ, RA-5000 Cordoba, Argentina; Univ Nacl Cordoba, Dept Geol Basica, RA-5000 Cordoba, Argentina</t>
  </si>
  <si>
    <t>Hokkaido University; Hokkaido University; Instituto Antartico Argentino; National University of Cordoba; National University of Cordoba</t>
  </si>
  <si>
    <t>Mori, J (corresponding author), Hokkaido Univ, Grad Sch Engn, Kita Ku, N13 W8, Sapporo, Hokkaido 0608628, Japan.</t>
  </si>
  <si>
    <t>jmori@eng.hokudai.ac.jp</t>
  </si>
  <si>
    <t>Instituto Antartico Argentino</t>
  </si>
  <si>
    <t>We thank the Instituto Antartico Argentino for logistical and technical support. We are grateful to Professor Masami Fukuda for helpful comments on the manuscript, to Dr. Kunio Watanabe and Dr. Kotaro Fukui for their assistance in the field.</t>
  </si>
  <si>
    <t>10.1007/3-540-32934-X_59</t>
  </si>
  <si>
    <t>WOS:000236632500059</t>
  </si>
  <si>
    <t>Navas, A; López-Martínez, J; Casas, J; Machín, J; Durán, JJ; Serrano, E; Cuchi, JA</t>
  </si>
  <si>
    <t>Soil characteristics along a transect on raised marine surfaces on Byers Peninsula, Livingston Island, South Shetland Islands</t>
  </si>
  <si>
    <t>This paper presents the results of a soil survey carried out in Byers Peninsula to characterize some of the main features of soils and processes involved in soil development in the largest ice-free area in the South Shetland Islands. Soils were sampled in four different sites at altitudes between 24 and 88 m a.s.l., along a transect of about 1.5 km in the southwestern sector of the peninsula. The sampling sites are located on different geomorphological units from the Holocene raised beaches to the pre-Holocene upper marine platforms. It was found that general soil properties and elemental composition differ among the distinctive edaphic environments that conform the soils on the platforms and on the raised beaches. From the platform to the beach, pH and electrical conductivity values decrease, as well as the clay and silt percentages. Increases in carbonate and sand contents were observed along the transect. The variability in some elements (K, Fe, Al, Ca, Sr) appears to be related to mineralogy and parent materials. In the studied soils, the main factors affecting soil development are related to cryogenic processes. Lixiviation and other weathering processes also play a role in soil evolution although their influence is restricted because water circulation is limited to the summer period.</t>
  </si>
  <si>
    <t>CSIC, Estac Expt Aula Dei, Apartado 202, E-50080 Zaragoza, Spain; Univ Autonoma Madrid, Fac Ciencias, Dept Quiica Agricola Geol &amp; Geoquim, E-28049 Madrid, Spain; CSIC, Ctr Ciencias Medioambient, Madrid 28006, Spain; Inst Geol &amp; Minero Espana, Madrid 28003, Spain; Univ Valladolid, Dept Geog, Valladolid 47011, Spain; Univ Zaragoza, Escuela Politecn Superior Huesca, Zaragoza 22071, Spain</t>
  </si>
  <si>
    <t>Consejo Superior de Investigaciones Cientificas (CSIC); CSIC - Estacion Experimental de Aula Dei (EEAD); Autonomous University of Madrid; Consejo Superior de Investigaciones Cientificas (CSIC); CSIC - Centro de Ciencias Medioambientales (CCMA); Universidad de Valladolid; University of Zaragoza</t>
  </si>
  <si>
    <t>CSIC, Estac Expt Aula Dei, Apartado 202, E-50080 Zaragoza, Spain.</t>
  </si>
  <si>
    <t>anavas@eead.csic.es; jeronimo.lopez@uam.es; j.casassainzdeaja@uam.es; jj.duran@igme.es; serranoe@fyl.uva.es; cuchi@unizar.es</t>
  </si>
  <si>
    <t>Lopez-Martinez, Jeronimo/C-5744-2011; Durán, Juan Jose/L-4932-2014; SERRANO, ENRIQUE/AAH-7986-2020; Navas, Ana/C-2725-2014; Duran, Juan/GRZ-0839-2022</t>
  </si>
  <si>
    <t>Lopez-Martinez, Jeronimo/0000-0002-1750-8287; SERRANO, ENRIQUE/0000-0001-9760-3876;</t>
  </si>
  <si>
    <t>10.1007/3-540-32934-X_60</t>
  </si>
  <si>
    <t>WOS:000236632500060</t>
  </si>
  <si>
    <t>Eichhorn, G; Afanasyev, V; Drent, RH; van der Jeugd, HP</t>
  </si>
  <si>
    <t>Eichhorn, Gotz; Afanasyev, Vsevolod; Drent, Rudolf H.; van der Jeugd, Henk P.</t>
  </si>
  <si>
    <t>Spring stopover routines in Russian Barnacle Geese Branta leucopsis tracked by resightings and geolocation</t>
  </si>
  <si>
    <t>ARDEA</t>
  </si>
  <si>
    <t>spring migration; Branta leucopsis; Wadden Sea; tracking; GLS; geolocation</t>
  </si>
  <si>
    <t>BRENT GEESE; IMPACT</t>
  </si>
  <si>
    <t>tBy attaching 9-g loggers (recording dusk and dawn times to a memory chip) to the coded leg rings of Barnacle Geese Branta leucopsis caught in a breeding colony at Tobseda (68 degrees 35'N, 52 degrees 20'E) on the arctic coast of the Russian Federation in 2003 and by their recapture and retrieval in the 2004 season, we reconstructed the year-round movements of 19 females. We analysed spring migration movements of logged birds until they entered the zone of continuous daylight (c. 20 May), supplemented by ring reading in the colony. The technique also enabled description of incubation rhythm in these arctic breeders, allowing inferences about attempt and timing of breeding without the necessity of direct observation. Although the birds did not necessarily travel together, most travelled on 14-15 (9 individuals) and 17-18 May (10 birds) when favourable conditions for long-distance flights prevailed. The majority of birds remained in the Wadden Sea well into May, and only 6 staged more than a week anywhere in the Baltic (median staging period 4 days). The majority reached the White Sea by 18 May (latest 25 May) after which near-continuous light precluded further locations. Most tracked individuals spotted in the colony arrived during 6-11 June (mean 8), on average 4 days before first egg date. The median laying date for 17 'logger' birds (from direct observation or backdating from start of incubation) was 13 June (range 5-19), the same as for the colony as a whole in 2004 (n = 385). We conclude that most Tobseda birds tend to overfly the Baltic, and eastern White Sea staging areas are used for on average three weeks before arrival at the breeding colony Judging from the timing in 2004, rapid follicular development must commence at pre-colony staging sites, and from observations in 2002 we suspect these to be on the Kanin Peninsula 360 km W of the nesting area. The Barnacle Geese from the newly established Tobseda colony have apparently pioneered a modified spring migratory routine, possibly partly under the influence of their shorter travel distance. The extended stay in the Wadden Sea fits with the trends in May census data over the past 15 years and may indicate that spring feeding conditions are better than formerly, that the Baltic staging sites are filled to capacity, or some combination of these factors.</t>
  </si>
  <si>
    <t>Univ Groningen, Anim Ecol Grp, Ctr Ecol &amp; Evolutionary Studies, NL-9750 AA Haren, Netherlands; British Antarctic Survey, NERC, Cambridge CB3 0ET, England</t>
  </si>
  <si>
    <t>University of Groningen; UK Research &amp; Innovation (UKRI); Natural Environment Research Council (NERC); NERC British Antarctic Survey</t>
  </si>
  <si>
    <t>Eichhorn, G (corresponding author), Univ Groningen, Anim Ecol Grp, Ctr Ecol &amp; Evolutionary Studies, POB 14, NL-9750 AA Haren, Netherlands.</t>
  </si>
  <si>
    <t>g.eichhorn@rug.nl</t>
  </si>
  <si>
    <t>Eichhorn, Götz/R-8136-2016; van der Jeugd, Henk P/F-4891-2010; van der Jeugd, Henk/S-3159-2019</t>
  </si>
  <si>
    <t>Eichhorn, Götz/0000-0003-2151-8856; van der Jeugd, Henk P/0000-0002-5332-9526; van der Jeugd, Henk/0000-0002-5332-9526</t>
  </si>
  <si>
    <t>NEDERLANDSE ORNITHOLOGISCHE UNIE</t>
  </si>
  <si>
    <t>ZEIST</t>
  </si>
  <si>
    <t>C/O PAUL STARMANS, OUDE ARNHEMSEWEG 261, 3705 BD ZEIST, NETHERLANDS</t>
  </si>
  <si>
    <t>0373-2266</t>
  </si>
  <si>
    <t>2213-1175</t>
  </si>
  <si>
    <t>Ardea</t>
  </si>
  <si>
    <t>167MF</t>
  </si>
  <si>
    <t>WOS:000246455100029</t>
  </si>
  <si>
    <t>Abdelsayed, V; Glaspell, G; Saoud, K; Meot-Ner, M; El-Shall, MS</t>
  </si>
  <si>
    <t>Kaiser, RI; Bernath, P; Osamura, Y; Petrie, S; Mebel, AM</t>
  </si>
  <si>
    <t>Abdelsayed, V.; Glaspell, G.; Saoud, K.; Meot-Ner, M.; El-Shall, M. Sarny</t>
  </si>
  <si>
    <t>Nanoparticles in astrochemistry: Synthesis and characterization of meteorite dust nanoparticles</t>
  </si>
  <si>
    <t>ASTROCHEMISTRY: FROM LABORATORY STUDIES TO ASTRONOMICAL OBSERVATIONS</t>
  </si>
  <si>
    <t>AIP Conference Proceedings</t>
  </si>
  <si>
    <t>Symposium on Astrochemistry - From Laboratory Studies to Astronomical Observations</t>
  </si>
  <si>
    <t>DEC 18-20, 2005</t>
  </si>
  <si>
    <t>Honolulu, HI</t>
  </si>
  <si>
    <t>meteorites; nanoparticles; laser vaporization; magnetic properties; catalysis</t>
  </si>
  <si>
    <t>MAGNETICALLY ENHANCED COAGULATION; SMALL IRON GRAINS; INTERPLANETARY DUST; ANTARCTIC MICROMETEORITES; INTERSTELLAR GRAINS; LASER IRRADIATION; CHEMISTRY; SIMULATION; OXIDATION; MODELS</t>
  </si>
  <si>
    <t>Interstellar dust particles (IDPs) constitute most of the solid matter in the universe. Large quantities of IDPs are also present in the Solar System and fall on Earth. IDPs are also of interest as they can catalyze astrochemical reactions and prebiotic synthesis, and their organic contents are believed to have contributed to the origins of life. Their chemical composition is similar to carbonaceous chondrite comets, asteroids and meteorites. The IDPs are microporous web-like aggregates of 10-100 nm phyllosilicate particles with morphologies similar to particles produced by the Laser Vaporization Controlled Condensation (LVCC) method. IDPs are available only as microscopic samples, and simulated IDPs are needed to study their chemical and catalytic effects. To produce such simulated IDPs, we formed nanoparticles from carbonaceous chondrite meteorites by LVCC processing. The compositions, morphologies, particle size distribution, FTIR spectra, and catalytic properties of the meteorite-based nanoparticles were investigated and compared with the original meteorite materials and reference minerals.</t>
  </si>
  <si>
    <t>[Abdelsayed, V.; Glaspell, G.; Saoud, K.; Meot-Ner, M.; El-Shall, M. Sarny] Virginia Commonwealth Univ, Dept Chem, Box 2006, Richmond, VA 23284 USA</t>
  </si>
  <si>
    <t>Virginia Commonwealth University</t>
  </si>
  <si>
    <t>Abdelsayed, V (corresponding author), Virginia Commonwealth Univ, Dept Chem, Box 2006, Richmond, VA 23284 USA.</t>
  </si>
  <si>
    <t>El-Shall, M. Samy/K-8954-2012</t>
  </si>
  <si>
    <t>saoud, khaled/0000-0002-9921-8987</t>
  </si>
  <si>
    <t>NASA [NNG04GH45G]</t>
  </si>
  <si>
    <t>NASA(National Aeronautics &amp; Space Administration (NASA))</t>
  </si>
  <si>
    <t>We gratefully acknowledge financial support from NASA Grant # NNG04GH45G.</t>
  </si>
  <si>
    <t>2 HUNTINGTON QUADRANGLE, STE 1NO1, MELVILLE, NY 11747-4501 USA</t>
  </si>
  <si>
    <t>0094-243X</t>
  </si>
  <si>
    <t>0-7354-0351-1</t>
  </si>
  <si>
    <t>AIP CONF PROC</t>
  </si>
  <si>
    <t>Astronomy &amp; Astrophysics; Chemistry, Analytical</t>
  </si>
  <si>
    <t>Astronomy &amp; Astrophysics; Chemistry</t>
  </si>
  <si>
    <t>BFD89</t>
  </si>
  <si>
    <t>WOS:000241319800009</t>
  </si>
  <si>
    <t>Webb, CE; Stauch, JR; Harpold, RE; Lorhammer, KA; Schutz, BE; Born, GH</t>
  </si>
  <si>
    <t>Williams, BG; DAmario, LA; Howell, KC; Hoots, FR</t>
  </si>
  <si>
    <t>Webb, Charles E.; Stauch, Jason R.; Harpold, Robert E.; Lorhammer, Kurt A.; Schutz, Bob E.; Born, George H.</t>
  </si>
  <si>
    <t>ICESat off-nadir laser targeting: Theory and practice</t>
  </si>
  <si>
    <t>ASTRODYNAMICS 2005, VOL 123, PTS 1-3</t>
  </si>
  <si>
    <t>Advances in the Astronautical Sciences</t>
  </si>
  <si>
    <t>AIAA/AAS Astrodynamics Specialist Conference</t>
  </si>
  <si>
    <t>AUG 07-11, 2005</t>
  </si>
  <si>
    <t>Lake Tahoe, CA</t>
  </si>
  <si>
    <t>In June 2005, NASA's Ice, Cloud and Land Elevation Satellite (ICESat) completed its seventh mapping campaign using the Geoscience Laser Altimeter System (GLAS) that it carries on-board. Its primary objective is to quantify the spatial and temporal variations in the topography of the Greenland and Antarctic ice sheets. To facilitate this, geodetic elevation measurements in the polar regions are obtained along reference ground tracks designed to repeat every 8 or 91 days. Despite periodic propulsive maneuvers that keep ICESat within 800 meters of these tracks, such offsets still require the satellite to be rolled by up to 0.1 degrees to point the laser at the desired reference track. In addition, mission operations allow designated targets of opportunity (TOOs) around the globe to be surveyed at roll angles as large as 5 degrees. This study evaluates the overall performance of the various software and hardware systems in the planning and execution of this off-nadir targeting strategy during the second and fifth campaigns, conducted in September-November 2003 and October-November 2004, respectively.</t>
  </si>
  <si>
    <t>[Webb, Charles E.; Harpold, Robert E.; Schutz, Bob E.] Univ Texas, Ctr Space Res, Austin, TX 78712 USA; [Stauch, Jason R.] CALTECH, Jet Prop Lab, Outer Planet Navigat Grp, Pasadena, CA 91109 USA; [Lorhammer, Kurt A.] Univ Colorado, Lab Atmospher &amp; Space Phys, Boulder, CO 80309 USA; [Born, George H.] Univ Colorado, Colorado Ctr Astrodynam Research, Boulder, CO 80309 USA</t>
  </si>
  <si>
    <t>University of Texas System; University of Texas Austin; National Aeronautics &amp; Space Administration (NASA); NASA Jet Propulsion Laboratory (JPL); California Institute of Technology; University of Colorado System; University of Colorado Boulder; University of Colorado System; University of Colorado Boulder</t>
  </si>
  <si>
    <t>Webb, CE (corresponding author), Univ Texas, Ctr Space Res, Austin, TX 78712 USA.</t>
  </si>
  <si>
    <t>webb@csr.utexas.edu</t>
  </si>
  <si>
    <t>UNIVELT INC</t>
  </si>
  <si>
    <t>PO BOX 28130, SAN DIEGO, CA 92128 USA</t>
  </si>
  <si>
    <t>1081-6003</t>
  </si>
  <si>
    <t>0-8770-3527-X</t>
  </si>
  <si>
    <t>ADV ASTRONAUT SCI</t>
  </si>
  <si>
    <t>BEL45</t>
  </si>
  <si>
    <t>WOS:000237804700009</t>
  </si>
  <si>
    <t>Sillanpää, M; Hillamo, R; Saarikoski, S; Frey, A; Pennanen, A; Makkonen, U; Spolnik, Z; Van Grieken, R; Branis, M; Brunekreef, B; Chalbot, MC; Kuhlbusch, T; Sunyer, J; Kerminen, VM; Kulmala, M; Salonen, RO</t>
  </si>
  <si>
    <t>Sillanpaa, Markus; Hillamo, Risto; Saarikoski, Sanna; Frey, Anna; Pennanen, Arto; Makkonen, Ulla; Spolnik, Zoya; Van Grieken, Rene; Branis, Martin; Brunekreef, Bert; Chalbot, Marie-Cecile; Kuhlbusch, Thomas; Sunyer, Jordi; Kerminen, Veli-Matti; Kulmala, Markku; Salonen, Ralmo O.</t>
  </si>
  <si>
    <t>Chemical composition and mass closure of particulate matter at six urban sites in Europe</t>
  </si>
  <si>
    <t>Conference on Particulate Matter Supersites Program and Related Studies</t>
  </si>
  <si>
    <t>FEB, 2005</t>
  </si>
  <si>
    <t>Atlanta, GA</t>
  </si>
  <si>
    <t>chemical mass closure; chemical components; fine particles; coarse particles; urban aerosol</t>
  </si>
  <si>
    <t>LOW-PRESSURE IMPACTOR; ANTARCTIC ATMOSPHERE; COARSE PARTICLES; AIR-QUALITY; SEA-SALT; AEROSOL; CARBON; PM2.5; HELSINKI; PM10</t>
  </si>
  <si>
    <t>The chemical composition of fine (PM2.5) and coarse (PM2.5-10) particulate matter was investigated in 7-week field campaigns of contrasting air pollution at six urban background sites in Europe. The campaigns were scheduled to include seasons of local public health concern due to high particulate concentrations or findings in previously conducted epidemiological studies. The sampling campaigns were carried out as follows: Duisburg/Germany October-November 2002 (autumn), Prague/Czech Republic November 2002-January 2003 (winter), Amsterdam/Netherlands January-March 2003 (winter), Helsinki/Finland March-May 2003 (spring), Barcelona/Spain March-May 2003 (spring) and Athens/ Greece June-July 2003 (summer). Aerosol samples were collected in 3 + 4-day periods per week (N = 14) using two identical virtual impactors (VI). All the filter samples were analysed with the same instruments to obtain particulate mass, inorganic ions, total and watersoluble elements, and elemental and organic carbon content. The campaign means Of PM2.5 and PM2.5-10 ranged from 8.3 to 30 and 5.4 to 29 mu g M-3, respectively. The wet and cool seasons favoured a low coarseto-fine particulate mass ratio (&lt; 1), whereas the ratio was high (&lt; 1) during the warmer and drier spring and summer campaigns. According to chemical mass closure, the major components in PM2.5 were carbonaceous compounds (organic matter+ elemental carbon), secondary inorganic ions and sea salt, whereas those in PM2.5-10 were soil-derived compounds, carbonaceous compounds, sea salt and nitrate. The major and minor components together accounted for 79-106% and 77-96% of the gravimetrically measured PM2.5 and PM2.5-10 mass, respectively. In conclusion, the measured PM2.5 and PM2.5-10 in the campaigns could be reconstructed to a large extent with the help of harmonized particulate sampling and analysis of the selected chemical constituents. The health significance of the observed differences in chemical composition and emission sources between the size-segregated particulate samples will be investigated in toxicological cell and animal studies. (c) 2006 Elsevier Ltd. All rights reserved.</t>
  </si>
  <si>
    <t>Finnish Meteorol Inst, Air Qual Res, FI-00560 Helsinki, Finland; Natl Publ Hlth Inst, Dept Environm Hlth, FI-70701 Kuopio, Finland; Univ Antwerp, Dept Chem, Micro &amp; Trace Anal Ctr, BE-2610 Antwerp, Belgium; Charles Univ, Inst Environm Studies, Fac Sci, CZ-12843 Prague 2, Czech Republic; Univ Utrecht, Inst Risk Assessment Sci, Environm &amp; Occupat Hlth Grp, NL-3508 TD Utrecht, Netherlands; Univ Utrecht, Med Ctr, Julius Ctr Hlth Sci &amp; Primary Care, NL-3508 TA Utrecht, Netherlands; Natl Observ Athens, Inst Environm Res &amp; Sustainable Dev, GR-15236 Athens, Greece; Inst Energie &amp; Umwelttech, D-47229 Duisburg, Germany; Inst Municipal Invest Med, Resp &amp; Environm Hlth Res Unit, E-08003 Barcelona, Spain; Finnish Meteorol Inst, Climate &amp; Global Change Res, FI-00560 Helsinki, Finland; Univ Helsinki, Div Atmospher Sci, FI-00014 Helsinki, Finland</t>
  </si>
  <si>
    <t>Finnish Meteorological Institute; Finland National Institute for Health &amp; Welfare; University of Antwerp; Charles University Prague; Utrecht University; Utrecht University; National Observatory of Athens; Finnish Meteorological Institute; University of Helsinki</t>
  </si>
  <si>
    <t>Sillanpää, M (corresponding author), Finnish Meteorol Inst, Air Qual Res, Erik Palmenin Aukio 1, FI-00560 Helsinki, Finland.</t>
  </si>
  <si>
    <t>markus.sillanpaa@fmi.fi</t>
  </si>
  <si>
    <t>Sillanpää, Mika E T/G-1366-2011; Saarikoski, Sanna/A-6706-2015; Kerminen, Veli-Matti/M-9026-2014; Makkonen, Ulla/AAV-9196-2021; Kuhlbusch, Thomas A.J./G-8920-2011; Saarikoski, Sanna/M-9529-2019; Chalbot, Marie-Cecile/A-4745-2012; Sunyer Deu, Jordi/G-6909-2014; Kulmala, Markku/I-7671-2016</t>
  </si>
  <si>
    <t>Sillanpää, Mika E T/0000-0003-3247-5337; Saarikoski, Sanna/0000-0002-6349-8016; Sillanpaa, Markus/0000-0002-9445-0955; Pennanen, Arto/0000-0003-0632-9459; Sunyer Deu, Jordi/0000-0002-2602-4110; brunekreef, bert/0000-0001-9908-0060; Chalbot, Marie-Cecile/0000-0002-3832-9632; Kulmala, Markku/0000-0003-3464-7825; Kuhlbusch, Thomas/0000-0001-7847-9304</t>
  </si>
  <si>
    <t>S212</t>
  </si>
  <si>
    <t>S223</t>
  </si>
  <si>
    <t>10.1016/j.atmosenv.2006.01.063</t>
  </si>
  <si>
    <t>105II</t>
  </si>
  <si>
    <t>WOS:000242023200005</t>
  </si>
  <si>
    <t>McLean, N; Handasyde, KA</t>
  </si>
  <si>
    <t>McLean, Natasha; Handasyde, Kathrine A.</t>
  </si>
  <si>
    <t>Sexual maturity, factors affecting the breeding season and breeding in consecutive seasons in populations of overabundant Victorian koalas (Phascolarctos cinereus)</t>
  </si>
  <si>
    <t>AUSTRALIAN JOURNAL OF ZOOLOGY</t>
  </si>
  <si>
    <t>ANTARCTIC FUR SEALS; REPRODUCTIVE-PERFORMANCE; TRICHOSURUS-CANINUS; AGE; GROWTH; SIZE; EXPERIENCE; DEMOGRAPHY; MOUNTAIN; CONSEQUENCES</t>
  </si>
  <si>
    <t>It is important to have knowledge of basic population parameters to understand how these vary geographically and temporally and how they contribute to population dynamics. This paper investigates three of these parameters in Victorian koala populations: sexual maturity, aspects of the breeding season, and the continuity of individuals' breeding. The investigation was carried out in koalas of known-age in two free-living (Redbill Creek on French Island and Brisbane Ranges) and one semi-captive (the Koala Conservation Centre on Phillip Island) population as well as koalas of unknown age in four Victorian populations of overabundant koalas: Mt Eccles and Framlingham in south-west Victoria, French Island in Western Port and Snake Island in south Gippsland. At sexual maturity, female koalas had a mean age (+/- 95% confidence interval) of 24.4 months (23.5-25.3 months), a mean head length of 125 mm (124 +/- 127 mm) and a mean body mass of 6.6 kg (6.3-6.8 kg). Only 7.4% of independent females (of unknown age) were carrying young when they weighed less than 6 kg. The breeding season was more restricted in the south-west populations. At Framlingham and Mt Eccles 85% and 91% of births, respectively, occurred between December and March. At Snake and French Islands only 46% and 53% of births, respectively, were recorded in the same period. In the Chlamydia-free population (Red Bill Creek) none of the koalas that were monitored stopped breeding and then resumed breeding in a subsequent season whereas many females from Chlamydia-infected populations ( Brisbane Ranges and the Koala Conservation Centre) did so. This variation in reproductive patterns is likely to make an important contribution to the variation in the demography observed in different koala populations.</t>
  </si>
  <si>
    <t>Univ Melbourne, Dept Zool, Melbourne, Vic 3010, Australia</t>
  </si>
  <si>
    <t>University of Melbourne; Melbourne Bioinformatics</t>
  </si>
  <si>
    <t>McLean, N (corresponding author), Dept Sustainabil &amp; Environm, 8 Nicholson St, Melbourne, Vic 3002, Australia.</t>
  </si>
  <si>
    <t>natasha.mclean@dse.vic.gov.au</t>
  </si>
  <si>
    <t>Handasyde, Kathrine/0000-0002-1693-7426</t>
  </si>
  <si>
    <t>CSIRO PUBLISHING</t>
  </si>
  <si>
    <t>CLAYTON</t>
  </si>
  <si>
    <t>UNIPARK, BLDG 1, LEVEL 1, 195 WELLINGTON RD, LOCKED BAG 10, CLAYTON, VIC 3168, AUSTRALIA</t>
  </si>
  <si>
    <t>0004-959X</t>
  </si>
  <si>
    <t>1446-5698</t>
  </si>
  <si>
    <t>AUST J ZOOL</t>
  </si>
  <si>
    <t>Aust. J. Zool.</t>
  </si>
  <si>
    <t>10.1071/ZO06015</t>
  </si>
  <si>
    <t>123ZH</t>
  </si>
  <si>
    <t>WOS:000243335900003</t>
  </si>
  <si>
    <t>Livermore, R</t>
  </si>
  <si>
    <t>Christie, DM; Fisher, CR; Lee, SM; Givens, S</t>
  </si>
  <si>
    <t>Livermore, Roy</t>
  </si>
  <si>
    <t>The East Scotia Sea: Mantle to microbe</t>
  </si>
  <si>
    <t>BACK-ARC SPREADING SYSTEMS: GEOLOGICAL, BIOLOGICAL, CHEMICAL, AND PHYSICAL INTERACTIONS</t>
  </si>
  <si>
    <t>Geophysical Monograph Book Series</t>
  </si>
  <si>
    <t>Conference on Interactions among Physical, Chemical, Biological, and Geological Processes in Back-Arc Spreading Systems</t>
  </si>
  <si>
    <t>MAY, 2004</t>
  </si>
  <si>
    <t>Jeju Isl, SOUTH KOREA</t>
  </si>
  <si>
    <t>ARC SPREADING CENTER; SOUTH-ATLANTIC; DEEP WATERS; LAU BASIN; PLATE; RIDGE; FLOW; BASALTS; OCEAN; GEOCHEMISTRY</t>
  </si>
  <si>
    <t>The East Scotia Sea is an important geological, oceanographic, and biological gateway between the Pacific and Atlantic realms, containing a particularly good example of back-arc spreading, the East Scotia Ridge. Recent surveys show that the ridge consists of nine segments, separated by nontransform offsets. The five middle segments (E3-E7) have the morphology of slow-intermediate spreading centers and erupt mainly normal mid-ocean ridge basalt lavas. End segments, E2 and E9, are much shallower, have the inflated appearance of faster-spreading ridges, and erupt slightly enriched, plume-influenced rocks with small to moderate subduction components. Spreading rates vary from 62 mm/yr in the north to 70 mm/yr in the south and cannot explain the along-axis variations. Rapid slab retreat is believed to cause flow of Atlantic asthenosphere around the ends of the subducting slab at the South Sandwich Trench, advecting fertile mantle into the back-arc region. Eastward rollback of the slab brings this mantle within 150 km of the volcanic front, where excess melting occurs as a result of fluxing by subduction-related hydrous fluids. This leads to the initiation of magmatically inflated end segments, characterized by thicker crust and elevated topography. Reconnaissance work has detected hydrothermal plumes above the most inflated parts of segments E2 and E9, suggesting a close relationship between mantle inflow, magmatism, and hydrothermal venting. Vent sites at the East Scotia Ridge may be affected by currents from the Weddell Sea and the South Pacific. Hence, the at present unknown vent fauna could be of either Pacific or Atlantic type, or conceivably a combination of both.</t>
  </si>
  <si>
    <t>British Antarctic Survey, Cambridge, England</t>
  </si>
  <si>
    <t>Livermore, R (corresponding author), British Antarctic Survey, High Cross,Madingley Rd, Cambridge, England.</t>
  </si>
  <si>
    <t>0065-8448</t>
  </si>
  <si>
    <t>978-0-87590-431-3</t>
  </si>
  <si>
    <t>GEOPHYS MONOGR SER</t>
  </si>
  <si>
    <t>BGA18</t>
  </si>
  <si>
    <t>WOS:000245755900012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</si>
</sst>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 x14ac:knownFonts="1">
    <font>
      <sz val="10"/>
      <name val="Arial"/>
    </font>
  </fonts>
  <fills count="2">
    <fill>
      <patternFill patternType="none"/>
    </fill>
    <fill>
      <patternFill patternType="gray125"/>
    </fill>
  </fills>
  <borders count="1">
    <border>
      <left/>
      <right/>
      <top/>
      <bottom/>
      <diagonal/>
    </border>
  </borders>
  <cellStyleXfs count="1">
    <xf numFmtId="0" fontId="0" fillId="0" borderId="0"/>
  </cellStyleXfs>
  <cellXfs count="1">
    <xf numFmtId="0" fontId="0" fillId="0" borderId="0" xfId="0"/>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T1001"/>
  <sheetViews>
    <sheetView tabSelected="1" workbookViewId="0"/>
  </sheetViews>
  <sheetFormatPr baseColWidth="10" defaultRowHeight="13" x14ac:dyDescent="0.15"/>
  <cols>
    <col min="1" max="256" width="8.83203125" customWidth="1"/>
  </cols>
  <sheetData>
    <row r="1" spans="1:72" x14ac:dyDescent="0.1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row>
    <row r="2" spans="1:72" x14ac:dyDescent="0.15">
      <c r="A2" t="s">
        <v>72</v>
      </c>
      <c r="B2" t="s">
        <v>73</v>
      </c>
      <c r="C2" t="s">
        <v>74</v>
      </c>
      <c r="D2" t="s">
        <v>74</v>
      </c>
      <c r="E2" t="s">
        <v>74</v>
      </c>
      <c r="F2" t="s">
        <v>75</v>
      </c>
      <c r="G2" t="s">
        <v>74</v>
      </c>
      <c r="H2" t="s">
        <v>74</v>
      </c>
      <c r="I2" t="s">
        <v>76</v>
      </c>
      <c r="J2" t="s">
        <v>77</v>
      </c>
      <c r="K2" t="s">
        <v>74</v>
      </c>
      <c r="L2" t="s">
        <v>74</v>
      </c>
      <c r="M2" t="s">
        <v>78</v>
      </c>
      <c r="N2" t="s">
        <v>79</v>
      </c>
      <c r="O2" t="s">
        <v>74</v>
      </c>
      <c r="P2" t="s">
        <v>74</v>
      </c>
      <c r="Q2" t="s">
        <v>74</v>
      </c>
      <c r="R2" t="s">
        <v>74</v>
      </c>
      <c r="S2" t="s">
        <v>74</v>
      </c>
      <c r="T2" t="s">
        <v>74</v>
      </c>
      <c r="U2" t="s">
        <v>80</v>
      </c>
      <c r="V2" t="s">
        <v>81</v>
      </c>
      <c r="W2" t="s">
        <v>82</v>
      </c>
      <c r="X2" t="s">
        <v>83</v>
      </c>
      <c r="Y2" t="s">
        <v>84</v>
      </c>
      <c r="Z2" t="s">
        <v>85</v>
      </c>
      <c r="AA2" t="s">
        <v>74</v>
      </c>
      <c r="AB2" t="s">
        <v>86</v>
      </c>
      <c r="AC2" t="s">
        <v>74</v>
      </c>
      <c r="AD2" t="s">
        <v>74</v>
      </c>
      <c r="AE2" t="s">
        <v>74</v>
      </c>
      <c r="AF2" t="s">
        <v>74</v>
      </c>
      <c r="AG2">
        <v>44</v>
      </c>
      <c r="AH2">
        <v>65</v>
      </c>
      <c r="AI2">
        <v>75</v>
      </c>
      <c r="AJ2">
        <v>1</v>
      </c>
      <c r="AK2">
        <v>43</v>
      </c>
      <c r="AL2" t="s">
        <v>87</v>
      </c>
      <c r="AM2" t="s">
        <v>88</v>
      </c>
      <c r="AN2" t="s">
        <v>89</v>
      </c>
      <c r="AO2" t="s">
        <v>90</v>
      </c>
      <c r="AP2" t="s">
        <v>91</v>
      </c>
      <c r="AQ2" t="s">
        <v>74</v>
      </c>
      <c r="AR2" t="s">
        <v>92</v>
      </c>
      <c r="AS2" t="s">
        <v>93</v>
      </c>
      <c r="AT2" t="s">
        <v>94</v>
      </c>
      <c r="AU2">
        <v>2006</v>
      </c>
      <c r="AV2">
        <v>72</v>
      </c>
      <c r="AW2">
        <v>8</v>
      </c>
      <c r="AX2" t="s">
        <v>74</v>
      </c>
      <c r="AY2" t="s">
        <v>74</v>
      </c>
      <c r="AZ2" t="s">
        <v>74</v>
      </c>
      <c r="BA2" t="s">
        <v>74</v>
      </c>
      <c r="BB2">
        <v>5562</v>
      </c>
      <c r="BC2">
        <v>5568</v>
      </c>
      <c r="BD2" t="s">
        <v>74</v>
      </c>
      <c r="BE2" t="s">
        <v>95</v>
      </c>
      <c r="BF2" t="str">
        <f>HYPERLINK("http://dx.doi.org/10.1128/AEM.00702-06","http://dx.doi.org/10.1128/AEM.00702-06")</f>
        <v>http://dx.doi.org/10.1128/AEM.00702-06</v>
      </c>
      <c r="BG2" t="s">
        <v>74</v>
      </c>
      <c r="BH2" t="s">
        <v>74</v>
      </c>
      <c r="BI2">
        <v>7</v>
      </c>
      <c r="BJ2" t="s">
        <v>96</v>
      </c>
      <c r="BK2" t="s">
        <v>97</v>
      </c>
      <c r="BL2" t="s">
        <v>96</v>
      </c>
      <c r="BM2" t="s">
        <v>98</v>
      </c>
      <c r="BN2">
        <v>16885310</v>
      </c>
      <c r="BO2" t="s">
        <v>99</v>
      </c>
      <c r="BP2" t="s">
        <v>74</v>
      </c>
      <c r="BQ2" t="s">
        <v>74</v>
      </c>
      <c r="BR2" t="s">
        <v>100</v>
      </c>
      <c r="BS2" t="s">
        <v>101</v>
      </c>
      <c r="BT2" t="str">
        <f>HYPERLINK("https%3A%2F%2Fwww.webofscience.com%2Fwos%2Fwoscc%2Ffull-record%2FWOS:000239780400053","View Full Record in Web of Science")</f>
        <v>View Full Record in Web of Science</v>
      </c>
    </row>
    <row r="3" spans="1:72" x14ac:dyDescent="0.15">
      <c r="A3" t="s">
        <v>72</v>
      </c>
      <c r="B3" t="s">
        <v>102</v>
      </c>
      <c r="C3" t="s">
        <v>74</v>
      </c>
      <c r="D3" t="s">
        <v>74</v>
      </c>
      <c r="E3" t="s">
        <v>74</v>
      </c>
      <c r="F3" t="s">
        <v>103</v>
      </c>
      <c r="G3" t="s">
        <v>74</v>
      </c>
      <c r="H3" t="s">
        <v>74</v>
      </c>
      <c r="I3" t="s">
        <v>104</v>
      </c>
      <c r="J3" t="s">
        <v>105</v>
      </c>
      <c r="K3" t="s">
        <v>74</v>
      </c>
      <c r="L3" t="s">
        <v>74</v>
      </c>
      <c r="M3" t="s">
        <v>78</v>
      </c>
      <c r="N3" t="s">
        <v>79</v>
      </c>
      <c r="O3" t="s">
        <v>74</v>
      </c>
      <c r="P3" t="s">
        <v>74</v>
      </c>
      <c r="Q3" t="s">
        <v>74</v>
      </c>
      <c r="R3" t="s">
        <v>74</v>
      </c>
      <c r="S3" t="s">
        <v>74</v>
      </c>
      <c r="T3" t="s">
        <v>106</v>
      </c>
      <c r="U3" t="s">
        <v>107</v>
      </c>
      <c r="V3" t="s">
        <v>108</v>
      </c>
      <c r="W3" t="s">
        <v>109</v>
      </c>
      <c r="X3" t="s">
        <v>110</v>
      </c>
      <c r="Y3" t="s">
        <v>111</v>
      </c>
      <c r="Z3" t="s">
        <v>112</v>
      </c>
      <c r="AA3" t="s">
        <v>113</v>
      </c>
      <c r="AB3" t="s">
        <v>114</v>
      </c>
      <c r="AC3" t="s">
        <v>74</v>
      </c>
      <c r="AD3" t="s">
        <v>74</v>
      </c>
      <c r="AE3" t="s">
        <v>74</v>
      </c>
      <c r="AF3" t="s">
        <v>74</v>
      </c>
      <c r="AG3">
        <v>50</v>
      </c>
      <c r="AH3">
        <v>124</v>
      </c>
      <c r="AI3">
        <v>154</v>
      </c>
      <c r="AJ3">
        <v>3</v>
      </c>
      <c r="AK3">
        <v>37</v>
      </c>
      <c r="AL3" t="s">
        <v>115</v>
      </c>
      <c r="AM3" t="s">
        <v>116</v>
      </c>
      <c r="AN3" t="s">
        <v>117</v>
      </c>
      <c r="AO3" t="s">
        <v>118</v>
      </c>
      <c r="AP3" t="s">
        <v>119</v>
      </c>
      <c r="AQ3" t="s">
        <v>74</v>
      </c>
      <c r="AR3" t="s">
        <v>120</v>
      </c>
      <c r="AS3" t="s">
        <v>121</v>
      </c>
      <c r="AT3" t="s">
        <v>94</v>
      </c>
      <c r="AU3">
        <v>2006</v>
      </c>
      <c r="AV3">
        <v>12</v>
      </c>
      <c r="AW3">
        <v>4</v>
      </c>
      <c r="AX3" t="s">
        <v>74</v>
      </c>
      <c r="AY3" t="s">
        <v>74</v>
      </c>
      <c r="AZ3" t="s">
        <v>74</v>
      </c>
      <c r="BA3" t="s">
        <v>74</v>
      </c>
      <c r="BB3">
        <v>280</v>
      </c>
      <c r="BC3">
        <v>290</v>
      </c>
      <c r="BD3" t="s">
        <v>74</v>
      </c>
      <c r="BE3" t="s">
        <v>122</v>
      </c>
      <c r="BF3" t="str">
        <f>HYPERLINK("http://dx.doi.org/10.1111/j.1365-2095.2006.00400.x","http://dx.doi.org/10.1111/j.1365-2095.2006.00400.x")</f>
        <v>http://dx.doi.org/10.1111/j.1365-2095.2006.00400.x</v>
      </c>
      <c r="BG3" t="s">
        <v>74</v>
      </c>
      <c r="BH3" t="s">
        <v>74</v>
      </c>
      <c r="BI3">
        <v>11</v>
      </c>
      <c r="BJ3" t="s">
        <v>123</v>
      </c>
      <c r="BK3" t="s">
        <v>97</v>
      </c>
      <c r="BL3" t="s">
        <v>123</v>
      </c>
      <c r="BM3" t="s">
        <v>124</v>
      </c>
      <c r="BN3" t="s">
        <v>74</v>
      </c>
      <c r="BO3" t="s">
        <v>74</v>
      </c>
      <c r="BP3" t="s">
        <v>74</v>
      </c>
      <c r="BQ3" t="s">
        <v>74</v>
      </c>
      <c r="BR3" t="s">
        <v>100</v>
      </c>
      <c r="BS3" t="s">
        <v>125</v>
      </c>
      <c r="BT3" t="str">
        <f>HYPERLINK("https%3A%2F%2Fwww.webofscience.com%2Fwos%2Fwoscc%2Ffull-record%2FWOS:000238741700005","View Full Record in Web of Science")</f>
        <v>View Full Record in Web of Science</v>
      </c>
    </row>
    <row r="4" spans="1:72" x14ac:dyDescent="0.15">
      <c r="A4" t="s">
        <v>72</v>
      </c>
      <c r="B4" t="s">
        <v>126</v>
      </c>
      <c r="C4" t="s">
        <v>74</v>
      </c>
      <c r="D4" t="s">
        <v>74</v>
      </c>
      <c r="E4" t="s">
        <v>74</v>
      </c>
      <c r="F4" t="s">
        <v>127</v>
      </c>
      <c r="G4" t="s">
        <v>74</v>
      </c>
      <c r="H4" t="s">
        <v>74</v>
      </c>
      <c r="I4" t="s">
        <v>128</v>
      </c>
      <c r="J4" t="s">
        <v>129</v>
      </c>
      <c r="K4" t="s">
        <v>74</v>
      </c>
      <c r="L4" t="s">
        <v>74</v>
      </c>
      <c r="M4" t="s">
        <v>78</v>
      </c>
      <c r="N4" t="s">
        <v>79</v>
      </c>
      <c r="O4" t="s">
        <v>74</v>
      </c>
      <c r="P4" t="s">
        <v>74</v>
      </c>
      <c r="Q4" t="s">
        <v>74</v>
      </c>
      <c r="R4" t="s">
        <v>74</v>
      </c>
      <c r="S4" t="s">
        <v>74</v>
      </c>
      <c r="T4" t="s">
        <v>74</v>
      </c>
      <c r="U4" t="s">
        <v>130</v>
      </c>
      <c r="V4" t="s">
        <v>131</v>
      </c>
      <c r="W4" t="s">
        <v>132</v>
      </c>
      <c r="X4" t="s">
        <v>133</v>
      </c>
      <c r="Y4" t="s">
        <v>134</v>
      </c>
      <c r="Z4" t="s">
        <v>135</v>
      </c>
      <c r="AA4" t="s">
        <v>74</v>
      </c>
      <c r="AB4" t="s">
        <v>74</v>
      </c>
      <c r="AC4" t="s">
        <v>74</v>
      </c>
      <c r="AD4" t="s">
        <v>74</v>
      </c>
      <c r="AE4" t="s">
        <v>74</v>
      </c>
      <c r="AF4" t="s">
        <v>74</v>
      </c>
      <c r="AG4">
        <v>58</v>
      </c>
      <c r="AH4">
        <v>13</v>
      </c>
      <c r="AI4">
        <v>16</v>
      </c>
      <c r="AJ4">
        <v>1</v>
      </c>
      <c r="AK4">
        <v>28</v>
      </c>
      <c r="AL4" t="s">
        <v>136</v>
      </c>
      <c r="AM4" t="s">
        <v>137</v>
      </c>
      <c r="AN4" t="s">
        <v>138</v>
      </c>
      <c r="AO4" t="s">
        <v>139</v>
      </c>
      <c r="AP4" t="s">
        <v>140</v>
      </c>
      <c r="AQ4" t="s">
        <v>74</v>
      </c>
      <c r="AR4" t="s">
        <v>141</v>
      </c>
      <c r="AS4" t="s">
        <v>142</v>
      </c>
      <c r="AT4" t="s">
        <v>94</v>
      </c>
      <c r="AU4">
        <v>2006</v>
      </c>
      <c r="AV4">
        <v>38</v>
      </c>
      <c r="AW4">
        <v>3</v>
      </c>
      <c r="AX4" t="s">
        <v>74</v>
      </c>
      <c r="AY4" t="s">
        <v>74</v>
      </c>
      <c r="AZ4" t="s">
        <v>74</v>
      </c>
      <c r="BA4" t="s">
        <v>74</v>
      </c>
      <c r="BB4">
        <v>305</v>
      </c>
      <c r="BC4">
        <v>312</v>
      </c>
      <c r="BD4" t="s">
        <v>74</v>
      </c>
      <c r="BE4" t="s">
        <v>143</v>
      </c>
      <c r="BF4" t="str">
        <f>HYPERLINK("http://dx.doi.org/10.1657/1523-0430(2006)38[305:BSEITA]2.0.CO;2","http://dx.doi.org/10.1657/1523-0430(2006)38[305:BSEITA]2.0.CO;2")</f>
        <v>http://dx.doi.org/10.1657/1523-0430(2006)38[305:BSEITA]2.0.CO;2</v>
      </c>
      <c r="BG4" t="s">
        <v>74</v>
      </c>
      <c r="BH4" t="s">
        <v>74</v>
      </c>
      <c r="BI4">
        <v>8</v>
      </c>
      <c r="BJ4" t="s">
        <v>144</v>
      </c>
      <c r="BK4" t="s">
        <v>97</v>
      </c>
      <c r="BL4" t="s">
        <v>145</v>
      </c>
      <c r="BM4" t="s">
        <v>146</v>
      </c>
      <c r="BN4" t="s">
        <v>74</v>
      </c>
      <c r="BO4" t="s">
        <v>147</v>
      </c>
      <c r="BP4" t="s">
        <v>74</v>
      </c>
      <c r="BQ4" t="s">
        <v>74</v>
      </c>
      <c r="BR4" t="s">
        <v>100</v>
      </c>
      <c r="BS4" t="s">
        <v>148</v>
      </c>
      <c r="BT4" t="str">
        <f>HYPERLINK("https%3A%2F%2Fwww.webofscience.com%2Fwos%2Fwoscc%2Ffull-record%2FWOS:000240449600001","View Full Record in Web of Science")</f>
        <v>View Full Record in Web of Science</v>
      </c>
    </row>
    <row r="5" spans="1:72" x14ac:dyDescent="0.15">
      <c r="A5" t="s">
        <v>72</v>
      </c>
      <c r="B5" t="s">
        <v>149</v>
      </c>
      <c r="C5" t="s">
        <v>74</v>
      </c>
      <c r="D5" t="s">
        <v>74</v>
      </c>
      <c r="E5" t="s">
        <v>74</v>
      </c>
      <c r="F5" t="s">
        <v>150</v>
      </c>
      <c r="G5" t="s">
        <v>74</v>
      </c>
      <c r="H5" t="s">
        <v>74</v>
      </c>
      <c r="I5" t="s">
        <v>151</v>
      </c>
      <c r="J5" t="s">
        <v>129</v>
      </c>
      <c r="K5" t="s">
        <v>74</v>
      </c>
      <c r="L5" t="s">
        <v>74</v>
      </c>
      <c r="M5" t="s">
        <v>78</v>
      </c>
      <c r="N5" t="s">
        <v>79</v>
      </c>
      <c r="O5" t="s">
        <v>74</v>
      </c>
      <c r="P5" t="s">
        <v>74</v>
      </c>
      <c r="Q5" t="s">
        <v>74</v>
      </c>
      <c r="R5" t="s">
        <v>74</v>
      </c>
      <c r="S5" t="s">
        <v>74</v>
      </c>
      <c r="T5" t="s">
        <v>74</v>
      </c>
      <c r="U5" t="s">
        <v>152</v>
      </c>
      <c r="V5" t="s">
        <v>153</v>
      </c>
      <c r="W5" t="s">
        <v>154</v>
      </c>
      <c r="X5" t="s">
        <v>155</v>
      </c>
      <c r="Y5" t="s">
        <v>156</v>
      </c>
      <c r="Z5" t="s">
        <v>157</v>
      </c>
      <c r="AA5" t="s">
        <v>158</v>
      </c>
      <c r="AB5" t="s">
        <v>159</v>
      </c>
      <c r="AC5" t="s">
        <v>74</v>
      </c>
      <c r="AD5" t="s">
        <v>74</v>
      </c>
      <c r="AE5" t="s">
        <v>74</v>
      </c>
      <c r="AF5" t="s">
        <v>74</v>
      </c>
      <c r="AG5">
        <v>38</v>
      </c>
      <c r="AH5">
        <v>36</v>
      </c>
      <c r="AI5">
        <v>42</v>
      </c>
      <c r="AJ5">
        <v>1</v>
      </c>
      <c r="AK5">
        <v>10</v>
      </c>
      <c r="AL5" t="s">
        <v>160</v>
      </c>
      <c r="AM5" t="s">
        <v>161</v>
      </c>
      <c r="AN5" t="s">
        <v>162</v>
      </c>
      <c r="AO5" t="s">
        <v>139</v>
      </c>
      <c r="AP5" t="s">
        <v>140</v>
      </c>
      <c r="AQ5" t="s">
        <v>74</v>
      </c>
      <c r="AR5" t="s">
        <v>141</v>
      </c>
      <c r="AS5" t="s">
        <v>142</v>
      </c>
      <c r="AT5" t="s">
        <v>94</v>
      </c>
      <c r="AU5">
        <v>2006</v>
      </c>
      <c r="AV5">
        <v>38</v>
      </c>
      <c r="AW5">
        <v>3</v>
      </c>
      <c r="AX5" t="s">
        <v>74</v>
      </c>
      <c r="AY5" t="s">
        <v>74</v>
      </c>
      <c r="AZ5" t="s">
        <v>74</v>
      </c>
      <c r="BA5" t="s">
        <v>74</v>
      </c>
      <c r="BB5">
        <v>313</v>
      </c>
      <c r="BC5">
        <v>324</v>
      </c>
      <c r="BD5" t="s">
        <v>74</v>
      </c>
      <c r="BE5" t="s">
        <v>163</v>
      </c>
      <c r="BF5" t="str">
        <f>HYPERLINK("http://dx.doi.org/10.1657/1523-0430(2006)38[313:NSDICS]2.0.CO;2","http://dx.doi.org/10.1657/1523-0430(2006)38[313:NSDICS]2.0.CO;2")</f>
        <v>http://dx.doi.org/10.1657/1523-0430(2006)38[313:NSDICS]2.0.CO;2</v>
      </c>
      <c r="BG5" t="s">
        <v>74</v>
      </c>
      <c r="BH5" t="s">
        <v>74</v>
      </c>
      <c r="BI5">
        <v>12</v>
      </c>
      <c r="BJ5" t="s">
        <v>144</v>
      </c>
      <c r="BK5" t="s">
        <v>97</v>
      </c>
      <c r="BL5" t="s">
        <v>145</v>
      </c>
      <c r="BM5" t="s">
        <v>146</v>
      </c>
      <c r="BN5" t="s">
        <v>74</v>
      </c>
      <c r="BO5" t="s">
        <v>164</v>
      </c>
      <c r="BP5" t="s">
        <v>74</v>
      </c>
      <c r="BQ5" t="s">
        <v>74</v>
      </c>
      <c r="BR5" t="s">
        <v>100</v>
      </c>
      <c r="BS5" t="s">
        <v>165</v>
      </c>
      <c r="BT5" t="str">
        <f>HYPERLINK("https%3A%2F%2Fwww.webofscience.com%2Fwos%2Fwoscc%2Ffull-record%2FWOS:000240449600002","View Full Record in Web of Science")</f>
        <v>View Full Record in Web of Science</v>
      </c>
    </row>
    <row r="6" spans="1:72" x14ac:dyDescent="0.15">
      <c r="A6" t="s">
        <v>72</v>
      </c>
      <c r="B6" t="s">
        <v>166</v>
      </c>
      <c r="C6" t="s">
        <v>74</v>
      </c>
      <c r="D6" t="s">
        <v>74</v>
      </c>
      <c r="E6" t="s">
        <v>74</v>
      </c>
      <c r="F6" t="s">
        <v>167</v>
      </c>
      <c r="G6" t="s">
        <v>74</v>
      </c>
      <c r="H6" t="s">
        <v>74</v>
      </c>
      <c r="I6" t="s">
        <v>168</v>
      </c>
      <c r="J6" t="s">
        <v>129</v>
      </c>
      <c r="K6" t="s">
        <v>74</v>
      </c>
      <c r="L6" t="s">
        <v>74</v>
      </c>
      <c r="M6" t="s">
        <v>78</v>
      </c>
      <c r="N6" t="s">
        <v>79</v>
      </c>
      <c r="O6" t="s">
        <v>74</v>
      </c>
      <c r="P6" t="s">
        <v>74</v>
      </c>
      <c r="Q6" t="s">
        <v>74</v>
      </c>
      <c r="R6" t="s">
        <v>74</v>
      </c>
      <c r="S6" t="s">
        <v>74</v>
      </c>
      <c r="T6" t="s">
        <v>74</v>
      </c>
      <c r="U6" t="s">
        <v>169</v>
      </c>
      <c r="V6" t="s">
        <v>170</v>
      </c>
      <c r="W6" t="s">
        <v>171</v>
      </c>
      <c r="X6" t="s">
        <v>172</v>
      </c>
      <c r="Y6" t="s">
        <v>173</v>
      </c>
      <c r="Z6" t="s">
        <v>174</v>
      </c>
      <c r="AA6" t="s">
        <v>175</v>
      </c>
      <c r="AB6" t="s">
        <v>176</v>
      </c>
      <c r="AC6" t="s">
        <v>74</v>
      </c>
      <c r="AD6" t="s">
        <v>74</v>
      </c>
      <c r="AE6" t="s">
        <v>74</v>
      </c>
      <c r="AF6" t="s">
        <v>74</v>
      </c>
      <c r="AG6">
        <v>58</v>
      </c>
      <c r="AH6">
        <v>20</v>
      </c>
      <c r="AI6">
        <v>20</v>
      </c>
      <c r="AJ6">
        <v>0</v>
      </c>
      <c r="AK6">
        <v>17</v>
      </c>
      <c r="AL6" t="s">
        <v>160</v>
      </c>
      <c r="AM6" t="s">
        <v>161</v>
      </c>
      <c r="AN6" t="s">
        <v>162</v>
      </c>
      <c r="AO6" t="s">
        <v>139</v>
      </c>
      <c r="AP6" t="s">
        <v>74</v>
      </c>
      <c r="AQ6" t="s">
        <v>74</v>
      </c>
      <c r="AR6" t="s">
        <v>141</v>
      </c>
      <c r="AS6" t="s">
        <v>142</v>
      </c>
      <c r="AT6" t="s">
        <v>94</v>
      </c>
      <c r="AU6">
        <v>2006</v>
      </c>
      <c r="AV6">
        <v>38</v>
      </c>
      <c r="AW6">
        <v>3</v>
      </c>
      <c r="AX6" t="s">
        <v>74</v>
      </c>
      <c r="AY6" t="s">
        <v>74</v>
      </c>
      <c r="AZ6" t="s">
        <v>74</v>
      </c>
      <c r="BA6" t="s">
        <v>74</v>
      </c>
      <c r="BB6">
        <v>325</v>
      </c>
      <c r="BC6">
        <v>334</v>
      </c>
      <c r="BD6" t="s">
        <v>74</v>
      </c>
      <c r="BE6" t="s">
        <v>177</v>
      </c>
      <c r="BF6" t="str">
        <f>HYPERLINK("http://dx.doi.org/10.1657/1523-0430(2006)38[325:SSYADO]2.0.CO;2","http://dx.doi.org/10.1657/1523-0430(2006)38[325:SSYADO]2.0.CO;2")</f>
        <v>http://dx.doi.org/10.1657/1523-0430(2006)38[325:SSYADO]2.0.CO;2</v>
      </c>
      <c r="BG6" t="s">
        <v>74</v>
      </c>
      <c r="BH6" t="s">
        <v>74</v>
      </c>
      <c r="BI6">
        <v>10</v>
      </c>
      <c r="BJ6" t="s">
        <v>144</v>
      </c>
      <c r="BK6" t="s">
        <v>97</v>
      </c>
      <c r="BL6" t="s">
        <v>145</v>
      </c>
      <c r="BM6" t="s">
        <v>146</v>
      </c>
      <c r="BN6" t="s">
        <v>74</v>
      </c>
      <c r="BO6" t="s">
        <v>147</v>
      </c>
      <c r="BP6" t="s">
        <v>74</v>
      </c>
      <c r="BQ6" t="s">
        <v>74</v>
      </c>
      <c r="BR6" t="s">
        <v>100</v>
      </c>
      <c r="BS6" t="s">
        <v>178</v>
      </c>
      <c r="BT6" t="str">
        <f>HYPERLINK("https%3A%2F%2Fwww.webofscience.com%2Fwos%2Fwoscc%2Ffull-record%2FWOS:000240449600003","View Full Record in Web of Science")</f>
        <v>View Full Record in Web of Science</v>
      </c>
    </row>
    <row r="7" spans="1:72" x14ac:dyDescent="0.15">
      <c r="A7" t="s">
        <v>72</v>
      </c>
      <c r="B7" t="s">
        <v>179</v>
      </c>
      <c r="C7" t="s">
        <v>74</v>
      </c>
      <c r="D7" t="s">
        <v>74</v>
      </c>
      <c r="E7" t="s">
        <v>74</v>
      </c>
      <c r="F7" t="s">
        <v>180</v>
      </c>
      <c r="G7" t="s">
        <v>74</v>
      </c>
      <c r="H7" t="s">
        <v>74</v>
      </c>
      <c r="I7" t="s">
        <v>181</v>
      </c>
      <c r="J7" t="s">
        <v>129</v>
      </c>
      <c r="K7" t="s">
        <v>74</v>
      </c>
      <c r="L7" t="s">
        <v>74</v>
      </c>
      <c r="M7" t="s">
        <v>78</v>
      </c>
      <c r="N7" t="s">
        <v>79</v>
      </c>
      <c r="O7" t="s">
        <v>74</v>
      </c>
      <c r="P7" t="s">
        <v>74</v>
      </c>
      <c r="Q7" t="s">
        <v>74</v>
      </c>
      <c r="R7" t="s">
        <v>74</v>
      </c>
      <c r="S7" t="s">
        <v>74</v>
      </c>
      <c r="T7" t="s">
        <v>74</v>
      </c>
      <c r="U7" t="s">
        <v>182</v>
      </c>
      <c r="V7" t="s">
        <v>183</v>
      </c>
      <c r="W7" t="s">
        <v>184</v>
      </c>
      <c r="X7" t="s">
        <v>185</v>
      </c>
      <c r="Y7" t="s">
        <v>186</v>
      </c>
      <c r="Z7" t="s">
        <v>187</v>
      </c>
      <c r="AA7" t="s">
        <v>74</v>
      </c>
      <c r="AB7" t="s">
        <v>74</v>
      </c>
      <c r="AC7" t="s">
        <v>74</v>
      </c>
      <c r="AD7" t="s">
        <v>74</v>
      </c>
      <c r="AE7" t="s">
        <v>74</v>
      </c>
      <c r="AF7" t="s">
        <v>74</v>
      </c>
      <c r="AG7">
        <v>22</v>
      </c>
      <c r="AH7">
        <v>28</v>
      </c>
      <c r="AI7">
        <v>29</v>
      </c>
      <c r="AJ7">
        <v>0</v>
      </c>
      <c r="AK7">
        <v>4</v>
      </c>
      <c r="AL7" t="s">
        <v>160</v>
      </c>
      <c r="AM7" t="s">
        <v>161</v>
      </c>
      <c r="AN7" t="s">
        <v>162</v>
      </c>
      <c r="AO7" t="s">
        <v>139</v>
      </c>
      <c r="AP7" t="s">
        <v>74</v>
      </c>
      <c r="AQ7" t="s">
        <v>74</v>
      </c>
      <c r="AR7" t="s">
        <v>141</v>
      </c>
      <c r="AS7" t="s">
        <v>142</v>
      </c>
      <c r="AT7" t="s">
        <v>94</v>
      </c>
      <c r="AU7">
        <v>2006</v>
      </c>
      <c r="AV7">
        <v>38</v>
      </c>
      <c r="AW7">
        <v>3</v>
      </c>
      <c r="AX7" t="s">
        <v>74</v>
      </c>
      <c r="AY7" t="s">
        <v>74</v>
      </c>
      <c r="AZ7" t="s">
        <v>74</v>
      </c>
      <c r="BA7" t="s">
        <v>74</v>
      </c>
      <c r="BB7">
        <v>335</v>
      </c>
      <c r="BC7">
        <v>342</v>
      </c>
      <c r="BD7" t="s">
        <v>74</v>
      </c>
      <c r="BE7" t="s">
        <v>188</v>
      </c>
      <c r="BF7" t="str">
        <f>HYPERLINK("http://dx.doi.org/10.1657/1523-0430(2006)38[335:HCOORI]2.0.CO;2","http://dx.doi.org/10.1657/1523-0430(2006)38[335:HCOORI]2.0.CO;2")</f>
        <v>http://dx.doi.org/10.1657/1523-0430(2006)38[335:HCOORI]2.0.CO;2</v>
      </c>
      <c r="BG7" t="s">
        <v>74</v>
      </c>
      <c r="BH7" t="s">
        <v>74</v>
      </c>
      <c r="BI7">
        <v>8</v>
      </c>
      <c r="BJ7" t="s">
        <v>144</v>
      </c>
      <c r="BK7" t="s">
        <v>97</v>
      </c>
      <c r="BL7" t="s">
        <v>145</v>
      </c>
      <c r="BM7" t="s">
        <v>146</v>
      </c>
      <c r="BN7" t="s">
        <v>74</v>
      </c>
      <c r="BO7" t="s">
        <v>147</v>
      </c>
      <c r="BP7" t="s">
        <v>74</v>
      </c>
      <c r="BQ7" t="s">
        <v>74</v>
      </c>
      <c r="BR7" t="s">
        <v>100</v>
      </c>
      <c r="BS7" t="s">
        <v>189</v>
      </c>
      <c r="BT7" t="str">
        <f>HYPERLINK("https%3A%2F%2Fwww.webofscience.com%2Fwos%2Fwoscc%2Ffull-record%2FWOS:000240449600004","View Full Record in Web of Science")</f>
        <v>View Full Record in Web of Science</v>
      </c>
    </row>
    <row r="8" spans="1:72" x14ac:dyDescent="0.15">
      <c r="A8" t="s">
        <v>72</v>
      </c>
      <c r="B8" t="s">
        <v>190</v>
      </c>
      <c r="C8" t="s">
        <v>74</v>
      </c>
      <c r="D8" t="s">
        <v>74</v>
      </c>
      <c r="E8" t="s">
        <v>74</v>
      </c>
      <c r="F8" t="s">
        <v>191</v>
      </c>
      <c r="G8" t="s">
        <v>74</v>
      </c>
      <c r="H8" t="s">
        <v>74</v>
      </c>
      <c r="I8" t="s">
        <v>192</v>
      </c>
      <c r="J8" t="s">
        <v>129</v>
      </c>
      <c r="K8" t="s">
        <v>74</v>
      </c>
      <c r="L8" t="s">
        <v>74</v>
      </c>
      <c r="M8" t="s">
        <v>78</v>
      </c>
      <c r="N8" t="s">
        <v>79</v>
      </c>
      <c r="O8" t="s">
        <v>74</v>
      </c>
      <c r="P8" t="s">
        <v>74</v>
      </c>
      <c r="Q8" t="s">
        <v>74</v>
      </c>
      <c r="R8" t="s">
        <v>74</v>
      </c>
      <c r="S8" t="s">
        <v>74</v>
      </c>
      <c r="T8" t="s">
        <v>74</v>
      </c>
      <c r="U8" t="s">
        <v>193</v>
      </c>
      <c r="V8" t="s">
        <v>194</v>
      </c>
      <c r="W8" t="s">
        <v>195</v>
      </c>
      <c r="X8" t="s">
        <v>196</v>
      </c>
      <c r="Y8" t="s">
        <v>197</v>
      </c>
      <c r="Z8" t="s">
        <v>198</v>
      </c>
      <c r="AA8" t="s">
        <v>74</v>
      </c>
      <c r="AB8" t="s">
        <v>199</v>
      </c>
      <c r="AC8" t="s">
        <v>74</v>
      </c>
      <c r="AD8" t="s">
        <v>74</v>
      </c>
      <c r="AE8" t="s">
        <v>74</v>
      </c>
      <c r="AF8" t="s">
        <v>74</v>
      </c>
      <c r="AG8">
        <v>48</v>
      </c>
      <c r="AH8">
        <v>15</v>
      </c>
      <c r="AI8">
        <v>15</v>
      </c>
      <c r="AJ8">
        <v>4</v>
      </c>
      <c r="AK8">
        <v>10</v>
      </c>
      <c r="AL8" t="s">
        <v>160</v>
      </c>
      <c r="AM8" t="s">
        <v>161</v>
      </c>
      <c r="AN8" t="s">
        <v>162</v>
      </c>
      <c r="AO8" t="s">
        <v>139</v>
      </c>
      <c r="AP8" t="s">
        <v>140</v>
      </c>
      <c r="AQ8" t="s">
        <v>74</v>
      </c>
      <c r="AR8" t="s">
        <v>141</v>
      </c>
      <c r="AS8" t="s">
        <v>142</v>
      </c>
      <c r="AT8" t="s">
        <v>94</v>
      </c>
      <c r="AU8">
        <v>2006</v>
      </c>
      <c r="AV8">
        <v>38</v>
      </c>
      <c r="AW8">
        <v>3</v>
      </c>
      <c r="AX8" t="s">
        <v>74</v>
      </c>
      <c r="AY8" t="s">
        <v>74</v>
      </c>
      <c r="AZ8" t="s">
        <v>74</v>
      </c>
      <c r="BA8" t="s">
        <v>74</v>
      </c>
      <c r="BB8">
        <v>343</v>
      </c>
      <c r="BC8">
        <v>356</v>
      </c>
      <c r="BD8" t="s">
        <v>74</v>
      </c>
      <c r="BE8" t="s">
        <v>200</v>
      </c>
      <c r="BF8" t="str">
        <f>HYPERLINK("http://dx.doi.org/10.1657/1523-0430(2006)38[343:PEATDO]2.0.CO;2","http://dx.doi.org/10.1657/1523-0430(2006)38[343:PEATDO]2.0.CO;2")</f>
        <v>http://dx.doi.org/10.1657/1523-0430(2006)38[343:PEATDO]2.0.CO;2</v>
      </c>
      <c r="BG8" t="s">
        <v>74</v>
      </c>
      <c r="BH8" t="s">
        <v>74</v>
      </c>
      <c r="BI8">
        <v>14</v>
      </c>
      <c r="BJ8" t="s">
        <v>144</v>
      </c>
      <c r="BK8" t="s">
        <v>97</v>
      </c>
      <c r="BL8" t="s">
        <v>145</v>
      </c>
      <c r="BM8" t="s">
        <v>146</v>
      </c>
      <c r="BN8" t="s">
        <v>74</v>
      </c>
      <c r="BO8" t="s">
        <v>147</v>
      </c>
      <c r="BP8" t="s">
        <v>74</v>
      </c>
      <c r="BQ8" t="s">
        <v>74</v>
      </c>
      <c r="BR8" t="s">
        <v>100</v>
      </c>
      <c r="BS8" t="s">
        <v>201</v>
      </c>
      <c r="BT8" t="str">
        <f>HYPERLINK("https%3A%2F%2Fwww.webofscience.com%2Fwos%2Fwoscc%2Ffull-record%2FWOS:000240449600005","View Full Record in Web of Science")</f>
        <v>View Full Record in Web of Science</v>
      </c>
    </row>
    <row r="9" spans="1:72" x14ac:dyDescent="0.15">
      <c r="A9" t="s">
        <v>72</v>
      </c>
      <c r="B9" t="s">
        <v>202</v>
      </c>
      <c r="C9" t="s">
        <v>74</v>
      </c>
      <c r="D9" t="s">
        <v>74</v>
      </c>
      <c r="E9" t="s">
        <v>74</v>
      </c>
      <c r="F9" t="s">
        <v>203</v>
      </c>
      <c r="G9" t="s">
        <v>74</v>
      </c>
      <c r="H9" t="s">
        <v>74</v>
      </c>
      <c r="I9" t="s">
        <v>204</v>
      </c>
      <c r="J9" t="s">
        <v>129</v>
      </c>
      <c r="K9" t="s">
        <v>74</v>
      </c>
      <c r="L9" t="s">
        <v>74</v>
      </c>
      <c r="M9" t="s">
        <v>78</v>
      </c>
      <c r="N9" t="s">
        <v>79</v>
      </c>
      <c r="O9" t="s">
        <v>74</v>
      </c>
      <c r="P9" t="s">
        <v>74</v>
      </c>
      <c r="Q9" t="s">
        <v>74</v>
      </c>
      <c r="R9" t="s">
        <v>74</v>
      </c>
      <c r="S9" t="s">
        <v>74</v>
      </c>
      <c r="T9" t="s">
        <v>74</v>
      </c>
      <c r="U9" t="s">
        <v>205</v>
      </c>
      <c r="V9" t="s">
        <v>206</v>
      </c>
      <c r="W9" t="s">
        <v>207</v>
      </c>
      <c r="X9" t="s">
        <v>208</v>
      </c>
      <c r="Y9" t="s">
        <v>209</v>
      </c>
      <c r="Z9" t="s">
        <v>210</v>
      </c>
      <c r="AA9" t="s">
        <v>211</v>
      </c>
      <c r="AB9" t="s">
        <v>212</v>
      </c>
      <c r="AC9" t="s">
        <v>74</v>
      </c>
      <c r="AD9" t="s">
        <v>74</v>
      </c>
      <c r="AE9" t="s">
        <v>74</v>
      </c>
      <c r="AF9" t="s">
        <v>74</v>
      </c>
      <c r="AG9">
        <v>39</v>
      </c>
      <c r="AH9">
        <v>57</v>
      </c>
      <c r="AI9">
        <v>62</v>
      </c>
      <c r="AJ9">
        <v>3</v>
      </c>
      <c r="AK9">
        <v>16</v>
      </c>
      <c r="AL9" t="s">
        <v>136</v>
      </c>
      <c r="AM9" t="s">
        <v>137</v>
      </c>
      <c r="AN9" t="s">
        <v>138</v>
      </c>
      <c r="AO9" t="s">
        <v>139</v>
      </c>
      <c r="AP9" t="s">
        <v>140</v>
      </c>
      <c r="AQ9" t="s">
        <v>74</v>
      </c>
      <c r="AR9" t="s">
        <v>141</v>
      </c>
      <c r="AS9" t="s">
        <v>142</v>
      </c>
      <c r="AT9" t="s">
        <v>94</v>
      </c>
      <c r="AU9">
        <v>2006</v>
      </c>
      <c r="AV9">
        <v>38</v>
      </c>
      <c r="AW9">
        <v>3</v>
      </c>
      <c r="AX9" t="s">
        <v>74</v>
      </c>
      <c r="AY9" t="s">
        <v>74</v>
      </c>
      <c r="AZ9" t="s">
        <v>74</v>
      </c>
      <c r="BA9" t="s">
        <v>74</v>
      </c>
      <c r="BB9">
        <v>357</v>
      </c>
      <c r="BC9">
        <v>362</v>
      </c>
      <c r="BD9" t="s">
        <v>74</v>
      </c>
      <c r="BE9" t="s">
        <v>213</v>
      </c>
      <c r="BF9" t="str">
        <f>HYPERLINK("http://dx.doi.org/10.1657/1523-0430(2006)38[357:EASAAY]2.0.CO;2","http://dx.doi.org/10.1657/1523-0430(2006)38[357:EASAAY]2.0.CO;2")</f>
        <v>http://dx.doi.org/10.1657/1523-0430(2006)38[357:EASAAY]2.0.CO;2</v>
      </c>
      <c r="BG9" t="s">
        <v>74</v>
      </c>
      <c r="BH9" t="s">
        <v>74</v>
      </c>
      <c r="BI9">
        <v>6</v>
      </c>
      <c r="BJ9" t="s">
        <v>144</v>
      </c>
      <c r="BK9" t="s">
        <v>97</v>
      </c>
      <c r="BL9" t="s">
        <v>145</v>
      </c>
      <c r="BM9" t="s">
        <v>146</v>
      </c>
      <c r="BN9" t="s">
        <v>74</v>
      </c>
      <c r="BO9" t="s">
        <v>164</v>
      </c>
      <c r="BP9" t="s">
        <v>74</v>
      </c>
      <c r="BQ9" t="s">
        <v>74</v>
      </c>
      <c r="BR9" t="s">
        <v>100</v>
      </c>
      <c r="BS9" t="s">
        <v>214</v>
      </c>
      <c r="BT9" t="str">
        <f>HYPERLINK("https%3A%2F%2Fwww.webofscience.com%2Fwos%2Fwoscc%2Ffull-record%2FWOS:000240449600006","View Full Record in Web of Science")</f>
        <v>View Full Record in Web of Science</v>
      </c>
    </row>
    <row r="10" spans="1:72" x14ac:dyDescent="0.15">
      <c r="A10" t="s">
        <v>72</v>
      </c>
      <c r="B10" t="s">
        <v>215</v>
      </c>
      <c r="C10" t="s">
        <v>74</v>
      </c>
      <c r="D10" t="s">
        <v>74</v>
      </c>
      <c r="E10" t="s">
        <v>74</v>
      </c>
      <c r="F10" t="s">
        <v>216</v>
      </c>
      <c r="G10" t="s">
        <v>74</v>
      </c>
      <c r="H10" t="s">
        <v>74</v>
      </c>
      <c r="I10" t="s">
        <v>217</v>
      </c>
      <c r="J10" t="s">
        <v>129</v>
      </c>
      <c r="K10" t="s">
        <v>74</v>
      </c>
      <c r="L10" t="s">
        <v>74</v>
      </c>
      <c r="M10" t="s">
        <v>78</v>
      </c>
      <c r="N10" t="s">
        <v>79</v>
      </c>
      <c r="O10" t="s">
        <v>74</v>
      </c>
      <c r="P10" t="s">
        <v>74</v>
      </c>
      <c r="Q10" t="s">
        <v>74</v>
      </c>
      <c r="R10" t="s">
        <v>74</v>
      </c>
      <c r="S10" t="s">
        <v>74</v>
      </c>
      <c r="T10" t="s">
        <v>74</v>
      </c>
      <c r="U10" t="s">
        <v>218</v>
      </c>
      <c r="V10" t="s">
        <v>219</v>
      </c>
      <c r="W10" t="s">
        <v>220</v>
      </c>
      <c r="X10" t="s">
        <v>221</v>
      </c>
      <c r="Y10" t="s">
        <v>222</v>
      </c>
      <c r="Z10" t="s">
        <v>223</v>
      </c>
      <c r="AA10" t="s">
        <v>224</v>
      </c>
      <c r="AB10" t="s">
        <v>225</v>
      </c>
      <c r="AC10" t="s">
        <v>74</v>
      </c>
      <c r="AD10" t="s">
        <v>74</v>
      </c>
      <c r="AE10" t="s">
        <v>74</v>
      </c>
      <c r="AF10" t="s">
        <v>74</v>
      </c>
      <c r="AG10">
        <v>44</v>
      </c>
      <c r="AH10">
        <v>65</v>
      </c>
      <c r="AI10">
        <v>79</v>
      </c>
      <c r="AJ10">
        <v>2</v>
      </c>
      <c r="AK10">
        <v>58</v>
      </c>
      <c r="AL10" t="s">
        <v>136</v>
      </c>
      <c r="AM10" t="s">
        <v>137</v>
      </c>
      <c r="AN10" t="s">
        <v>138</v>
      </c>
      <c r="AO10" t="s">
        <v>139</v>
      </c>
      <c r="AP10" t="s">
        <v>140</v>
      </c>
      <c r="AQ10" t="s">
        <v>74</v>
      </c>
      <c r="AR10" t="s">
        <v>141</v>
      </c>
      <c r="AS10" t="s">
        <v>142</v>
      </c>
      <c r="AT10" t="s">
        <v>94</v>
      </c>
      <c r="AU10">
        <v>2006</v>
      </c>
      <c r="AV10">
        <v>38</v>
      </c>
      <c r="AW10">
        <v>3</v>
      </c>
      <c r="AX10" t="s">
        <v>74</v>
      </c>
      <c r="AY10" t="s">
        <v>74</v>
      </c>
      <c r="AZ10" t="s">
        <v>74</v>
      </c>
      <c r="BA10" t="s">
        <v>74</v>
      </c>
      <c r="BB10">
        <v>363</v>
      </c>
      <c r="BC10">
        <v>372</v>
      </c>
      <c r="BD10" t="s">
        <v>74</v>
      </c>
      <c r="BE10" t="s">
        <v>226</v>
      </c>
      <c r="BF10" t="str">
        <f>HYPERLINK("http://dx.doi.org/10.1657/1523-0430(2006)38[363:NFISSA]2.0.CO;2","http://dx.doi.org/10.1657/1523-0430(2006)38[363:NFISSA]2.0.CO;2")</f>
        <v>http://dx.doi.org/10.1657/1523-0430(2006)38[363:NFISSA]2.0.CO;2</v>
      </c>
      <c r="BG10" t="s">
        <v>74</v>
      </c>
      <c r="BH10" t="s">
        <v>74</v>
      </c>
      <c r="BI10">
        <v>10</v>
      </c>
      <c r="BJ10" t="s">
        <v>144</v>
      </c>
      <c r="BK10" t="s">
        <v>97</v>
      </c>
      <c r="BL10" t="s">
        <v>145</v>
      </c>
      <c r="BM10" t="s">
        <v>146</v>
      </c>
      <c r="BN10" t="s">
        <v>74</v>
      </c>
      <c r="BO10" t="s">
        <v>227</v>
      </c>
      <c r="BP10" t="s">
        <v>74</v>
      </c>
      <c r="BQ10" t="s">
        <v>74</v>
      </c>
      <c r="BR10" t="s">
        <v>100</v>
      </c>
      <c r="BS10" t="s">
        <v>228</v>
      </c>
      <c r="BT10" t="str">
        <f>HYPERLINK("https%3A%2F%2Fwww.webofscience.com%2Fwos%2Fwoscc%2Ffull-record%2FWOS:000240449600007","View Full Record in Web of Science")</f>
        <v>View Full Record in Web of Science</v>
      </c>
    </row>
    <row r="11" spans="1:72" x14ac:dyDescent="0.15">
      <c r="A11" t="s">
        <v>72</v>
      </c>
      <c r="B11" t="s">
        <v>229</v>
      </c>
      <c r="C11" t="s">
        <v>74</v>
      </c>
      <c r="D11" t="s">
        <v>74</v>
      </c>
      <c r="E11" t="s">
        <v>74</v>
      </c>
      <c r="F11" t="s">
        <v>230</v>
      </c>
      <c r="G11" t="s">
        <v>74</v>
      </c>
      <c r="H11" t="s">
        <v>74</v>
      </c>
      <c r="I11" t="s">
        <v>231</v>
      </c>
      <c r="J11" t="s">
        <v>129</v>
      </c>
      <c r="K11" t="s">
        <v>74</v>
      </c>
      <c r="L11" t="s">
        <v>74</v>
      </c>
      <c r="M11" t="s">
        <v>78</v>
      </c>
      <c r="N11" t="s">
        <v>79</v>
      </c>
      <c r="O11" t="s">
        <v>74</v>
      </c>
      <c r="P11" t="s">
        <v>74</v>
      </c>
      <c r="Q11" t="s">
        <v>74</v>
      </c>
      <c r="R11" t="s">
        <v>74</v>
      </c>
      <c r="S11" t="s">
        <v>74</v>
      </c>
      <c r="T11" t="s">
        <v>74</v>
      </c>
      <c r="U11" t="s">
        <v>232</v>
      </c>
      <c r="V11" t="s">
        <v>233</v>
      </c>
      <c r="W11" t="s">
        <v>234</v>
      </c>
      <c r="X11" t="s">
        <v>235</v>
      </c>
      <c r="Y11" t="s">
        <v>236</v>
      </c>
      <c r="Z11" t="s">
        <v>237</v>
      </c>
      <c r="AA11" t="s">
        <v>74</v>
      </c>
      <c r="AB11" t="s">
        <v>74</v>
      </c>
      <c r="AC11" t="s">
        <v>74</v>
      </c>
      <c r="AD11" t="s">
        <v>74</v>
      </c>
      <c r="AE11" t="s">
        <v>74</v>
      </c>
      <c r="AF11" t="s">
        <v>74</v>
      </c>
      <c r="AG11">
        <v>42</v>
      </c>
      <c r="AH11">
        <v>6</v>
      </c>
      <c r="AI11">
        <v>7</v>
      </c>
      <c r="AJ11">
        <v>0</v>
      </c>
      <c r="AK11">
        <v>16</v>
      </c>
      <c r="AL11" t="s">
        <v>160</v>
      </c>
      <c r="AM11" t="s">
        <v>161</v>
      </c>
      <c r="AN11" t="s">
        <v>162</v>
      </c>
      <c r="AO11" t="s">
        <v>139</v>
      </c>
      <c r="AP11" t="s">
        <v>140</v>
      </c>
      <c r="AQ11" t="s">
        <v>74</v>
      </c>
      <c r="AR11" t="s">
        <v>141</v>
      </c>
      <c r="AS11" t="s">
        <v>142</v>
      </c>
      <c r="AT11" t="s">
        <v>94</v>
      </c>
      <c r="AU11">
        <v>2006</v>
      </c>
      <c r="AV11">
        <v>38</v>
      </c>
      <c r="AW11">
        <v>3</v>
      </c>
      <c r="AX11" t="s">
        <v>74</v>
      </c>
      <c r="AY11" t="s">
        <v>74</v>
      </c>
      <c r="AZ11" t="s">
        <v>74</v>
      </c>
      <c r="BA11" t="s">
        <v>74</v>
      </c>
      <c r="BB11">
        <v>373</v>
      </c>
      <c r="BC11">
        <v>377</v>
      </c>
      <c r="BD11" t="s">
        <v>74</v>
      </c>
      <c r="BE11" t="s">
        <v>238</v>
      </c>
      <c r="BF11" t="str">
        <f>HYPERLINK("http://dx.doi.org/10.1657/1523-0430(2006)38[373:DASMFL]2.0.CO;2","http://dx.doi.org/10.1657/1523-0430(2006)38[373:DASMFL]2.0.CO;2")</f>
        <v>http://dx.doi.org/10.1657/1523-0430(2006)38[373:DASMFL]2.0.CO;2</v>
      </c>
      <c r="BG11" t="s">
        <v>74</v>
      </c>
      <c r="BH11" t="s">
        <v>74</v>
      </c>
      <c r="BI11">
        <v>5</v>
      </c>
      <c r="BJ11" t="s">
        <v>144</v>
      </c>
      <c r="BK11" t="s">
        <v>97</v>
      </c>
      <c r="BL11" t="s">
        <v>145</v>
      </c>
      <c r="BM11" t="s">
        <v>146</v>
      </c>
      <c r="BN11" t="s">
        <v>74</v>
      </c>
      <c r="BO11" t="s">
        <v>164</v>
      </c>
      <c r="BP11" t="s">
        <v>74</v>
      </c>
      <c r="BQ11" t="s">
        <v>74</v>
      </c>
      <c r="BR11" t="s">
        <v>100</v>
      </c>
      <c r="BS11" t="s">
        <v>239</v>
      </c>
      <c r="BT11" t="str">
        <f>HYPERLINK("https%3A%2F%2Fwww.webofscience.com%2Fwos%2Fwoscc%2Ffull-record%2FWOS:000240449600008","View Full Record in Web of Science")</f>
        <v>View Full Record in Web of Science</v>
      </c>
    </row>
    <row r="12" spans="1:72" x14ac:dyDescent="0.15">
      <c r="A12" t="s">
        <v>72</v>
      </c>
      <c r="B12" t="s">
        <v>240</v>
      </c>
      <c r="C12" t="s">
        <v>74</v>
      </c>
      <c r="D12" t="s">
        <v>74</v>
      </c>
      <c r="E12" t="s">
        <v>74</v>
      </c>
      <c r="F12" t="s">
        <v>241</v>
      </c>
      <c r="G12" t="s">
        <v>74</v>
      </c>
      <c r="H12" t="s">
        <v>74</v>
      </c>
      <c r="I12" t="s">
        <v>242</v>
      </c>
      <c r="J12" t="s">
        <v>129</v>
      </c>
      <c r="K12" t="s">
        <v>74</v>
      </c>
      <c r="L12" t="s">
        <v>74</v>
      </c>
      <c r="M12" t="s">
        <v>78</v>
      </c>
      <c r="N12" t="s">
        <v>79</v>
      </c>
      <c r="O12" t="s">
        <v>74</v>
      </c>
      <c r="P12" t="s">
        <v>74</v>
      </c>
      <c r="Q12" t="s">
        <v>74</v>
      </c>
      <c r="R12" t="s">
        <v>74</v>
      </c>
      <c r="S12" t="s">
        <v>74</v>
      </c>
      <c r="T12" t="s">
        <v>74</v>
      </c>
      <c r="U12" t="s">
        <v>243</v>
      </c>
      <c r="V12" t="s">
        <v>244</v>
      </c>
      <c r="W12" t="s">
        <v>245</v>
      </c>
      <c r="X12" t="s">
        <v>246</v>
      </c>
      <c r="Y12" t="s">
        <v>247</v>
      </c>
      <c r="Z12" t="s">
        <v>248</v>
      </c>
      <c r="AA12" t="s">
        <v>249</v>
      </c>
      <c r="AB12" t="s">
        <v>250</v>
      </c>
      <c r="AC12" t="s">
        <v>74</v>
      </c>
      <c r="AD12" t="s">
        <v>74</v>
      </c>
      <c r="AE12" t="s">
        <v>74</v>
      </c>
      <c r="AF12" t="s">
        <v>74</v>
      </c>
      <c r="AG12">
        <v>29</v>
      </c>
      <c r="AH12">
        <v>13</v>
      </c>
      <c r="AI12">
        <v>15</v>
      </c>
      <c r="AJ12">
        <v>0</v>
      </c>
      <c r="AK12">
        <v>26</v>
      </c>
      <c r="AL12" t="s">
        <v>136</v>
      </c>
      <c r="AM12" t="s">
        <v>137</v>
      </c>
      <c r="AN12" t="s">
        <v>138</v>
      </c>
      <c r="AO12" t="s">
        <v>139</v>
      </c>
      <c r="AP12" t="s">
        <v>140</v>
      </c>
      <c r="AQ12" t="s">
        <v>74</v>
      </c>
      <c r="AR12" t="s">
        <v>141</v>
      </c>
      <c r="AS12" t="s">
        <v>142</v>
      </c>
      <c r="AT12" t="s">
        <v>94</v>
      </c>
      <c r="AU12">
        <v>2006</v>
      </c>
      <c r="AV12">
        <v>38</v>
      </c>
      <c r="AW12">
        <v>3</v>
      </c>
      <c r="AX12" t="s">
        <v>74</v>
      </c>
      <c r="AY12" t="s">
        <v>74</v>
      </c>
      <c r="AZ12" t="s">
        <v>74</v>
      </c>
      <c r="BA12" t="s">
        <v>74</v>
      </c>
      <c r="BB12">
        <v>378</v>
      </c>
      <c r="BC12">
        <v>383</v>
      </c>
      <c r="BD12" t="s">
        <v>74</v>
      </c>
      <c r="BE12" t="s">
        <v>251</v>
      </c>
      <c r="BF12" t="str">
        <f>HYPERLINK("http://dx.doi.org/10.1657/1523-0430(2006)38[378:AOSOCL]2.0.CO;2","http://dx.doi.org/10.1657/1523-0430(2006)38[378:AOSOCL]2.0.CO;2")</f>
        <v>http://dx.doi.org/10.1657/1523-0430(2006)38[378:AOSOCL]2.0.CO;2</v>
      </c>
      <c r="BG12" t="s">
        <v>74</v>
      </c>
      <c r="BH12" t="s">
        <v>74</v>
      </c>
      <c r="BI12">
        <v>6</v>
      </c>
      <c r="BJ12" t="s">
        <v>144</v>
      </c>
      <c r="BK12" t="s">
        <v>97</v>
      </c>
      <c r="BL12" t="s">
        <v>145</v>
      </c>
      <c r="BM12" t="s">
        <v>146</v>
      </c>
      <c r="BN12" t="s">
        <v>74</v>
      </c>
      <c r="BO12" t="s">
        <v>227</v>
      </c>
      <c r="BP12" t="s">
        <v>74</v>
      </c>
      <c r="BQ12" t="s">
        <v>74</v>
      </c>
      <c r="BR12" t="s">
        <v>100</v>
      </c>
      <c r="BS12" t="s">
        <v>252</v>
      </c>
      <c r="BT12" t="str">
        <f>HYPERLINK("https%3A%2F%2Fwww.webofscience.com%2Fwos%2Fwoscc%2Ffull-record%2FWOS:000240449600009","View Full Record in Web of Science")</f>
        <v>View Full Record in Web of Science</v>
      </c>
    </row>
    <row r="13" spans="1:72" x14ac:dyDescent="0.15">
      <c r="A13" t="s">
        <v>72</v>
      </c>
      <c r="B13" t="s">
        <v>253</v>
      </c>
      <c r="C13" t="s">
        <v>74</v>
      </c>
      <c r="D13" t="s">
        <v>74</v>
      </c>
      <c r="E13" t="s">
        <v>74</v>
      </c>
      <c r="F13" t="s">
        <v>254</v>
      </c>
      <c r="G13" t="s">
        <v>74</v>
      </c>
      <c r="H13" t="s">
        <v>74</v>
      </c>
      <c r="I13" t="s">
        <v>255</v>
      </c>
      <c r="J13" t="s">
        <v>129</v>
      </c>
      <c r="K13" t="s">
        <v>74</v>
      </c>
      <c r="L13" t="s">
        <v>74</v>
      </c>
      <c r="M13" t="s">
        <v>78</v>
      </c>
      <c r="N13" t="s">
        <v>79</v>
      </c>
      <c r="O13" t="s">
        <v>74</v>
      </c>
      <c r="P13" t="s">
        <v>74</v>
      </c>
      <c r="Q13" t="s">
        <v>74</v>
      </c>
      <c r="R13" t="s">
        <v>74</v>
      </c>
      <c r="S13" t="s">
        <v>74</v>
      </c>
      <c r="T13" t="s">
        <v>74</v>
      </c>
      <c r="U13" t="s">
        <v>256</v>
      </c>
      <c r="V13" t="s">
        <v>257</v>
      </c>
      <c r="W13" t="s">
        <v>258</v>
      </c>
      <c r="X13" t="s">
        <v>259</v>
      </c>
      <c r="Y13" t="s">
        <v>260</v>
      </c>
      <c r="Z13" t="s">
        <v>261</v>
      </c>
      <c r="AA13" t="s">
        <v>74</v>
      </c>
      <c r="AB13" t="s">
        <v>74</v>
      </c>
      <c r="AC13" t="s">
        <v>74</v>
      </c>
      <c r="AD13" t="s">
        <v>74</v>
      </c>
      <c r="AE13" t="s">
        <v>74</v>
      </c>
      <c r="AF13" t="s">
        <v>74</v>
      </c>
      <c r="AG13">
        <v>31</v>
      </c>
      <c r="AH13">
        <v>15</v>
      </c>
      <c r="AI13">
        <v>15</v>
      </c>
      <c r="AJ13">
        <v>0</v>
      </c>
      <c r="AK13">
        <v>14</v>
      </c>
      <c r="AL13" t="s">
        <v>160</v>
      </c>
      <c r="AM13" t="s">
        <v>161</v>
      </c>
      <c r="AN13" t="s">
        <v>162</v>
      </c>
      <c r="AO13" t="s">
        <v>139</v>
      </c>
      <c r="AP13" t="s">
        <v>140</v>
      </c>
      <c r="AQ13" t="s">
        <v>74</v>
      </c>
      <c r="AR13" t="s">
        <v>141</v>
      </c>
      <c r="AS13" t="s">
        <v>142</v>
      </c>
      <c r="AT13" t="s">
        <v>94</v>
      </c>
      <c r="AU13">
        <v>2006</v>
      </c>
      <c r="AV13">
        <v>38</v>
      </c>
      <c r="AW13">
        <v>3</v>
      </c>
      <c r="AX13" t="s">
        <v>74</v>
      </c>
      <c r="AY13" t="s">
        <v>74</v>
      </c>
      <c r="AZ13" t="s">
        <v>74</v>
      </c>
      <c r="BA13" t="s">
        <v>74</v>
      </c>
      <c r="BB13">
        <v>384</v>
      </c>
      <c r="BC13">
        <v>393</v>
      </c>
      <c r="BD13" t="s">
        <v>74</v>
      </c>
      <c r="BE13" t="s">
        <v>262</v>
      </c>
      <c r="BF13" t="str">
        <f>HYPERLINK("http://dx.doi.org/10.1657/1523-0430(2006)38[384:SCAPCD]2.0.CO;2","http://dx.doi.org/10.1657/1523-0430(2006)38[384:SCAPCD]2.0.CO;2")</f>
        <v>http://dx.doi.org/10.1657/1523-0430(2006)38[384:SCAPCD]2.0.CO;2</v>
      </c>
      <c r="BG13" t="s">
        <v>74</v>
      </c>
      <c r="BH13" t="s">
        <v>74</v>
      </c>
      <c r="BI13">
        <v>10</v>
      </c>
      <c r="BJ13" t="s">
        <v>144</v>
      </c>
      <c r="BK13" t="s">
        <v>97</v>
      </c>
      <c r="BL13" t="s">
        <v>145</v>
      </c>
      <c r="BM13" t="s">
        <v>146</v>
      </c>
      <c r="BN13" t="s">
        <v>74</v>
      </c>
      <c r="BO13" t="s">
        <v>164</v>
      </c>
      <c r="BP13" t="s">
        <v>74</v>
      </c>
      <c r="BQ13" t="s">
        <v>74</v>
      </c>
      <c r="BR13" t="s">
        <v>100</v>
      </c>
      <c r="BS13" t="s">
        <v>263</v>
      </c>
      <c r="BT13" t="str">
        <f>HYPERLINK("https%3A%2F%2Fwww.webofscience.com%2Fwos%2Fwoscc%2Ffull-record%2FWOS:000240449600010","View Full Record in Web of Science")</f>
        <v>View Full Record in Web of Science</v>
      </c>
    </row>
    <row r="14" spans="1:72" x14ac:dyDescent="0.15">
      <c r="A14" t="s">
        <v>72</v>
      </c>
      <c r="B14" t="s">
        <v>264</v>
      </c>
      <c r="C14" t="s">
        <v>74</v>
      </c>
      <c r="D14" t="s">
        <v>74</v>
      </c>
      <c r="E14" t="s">
        <v>74</v>
      </c>
      <c r="F14" t="s">
        <v>265</v>
      </c>
      <c r="G14" t="s">
        <v>74</v>
      </c>
      <c r="H14" t="s">
        <v>74</v>
      </c>
      <c r="I14" t="s">
        <v>266</v>
      </c>
      <c r="J14" t="s">
        <v>129</v>
      </c>
      <c r="K14" t="s">
        <v>74</v>
      </c>
      <c r="L14" t="s">
        <v>74</v>
      </c>
      <c r="M14" t="s">
        <v>78</v>
      </c>
      <c r="N14" t="s">
        <v>79</v>
      </c>
      <c r="O14" t="s">
        <v>74</v>
      </c>
      <c r="P14" t="s">
        <v>74</v>
      </c>
      <c r="Q14" t="s">
        <v>74</v>
      </c>
      <c r="R14" t="s">
        <v>74</v>
      </c>
      <c r="S14" t="s">
        <v>74</v>
      </c>
      <c r="T14" t="s">
        <v>74</v>
      </c>
      <c r="U14" t="s">
        <v>267</v>
      </c>
      <c r="V14" t="s">
        <v>268</v>
      </c>
      <c r="W14" t="s">
        <v>269</v>
      </c>
      <c r="X14" t="s">
        <v>270</v>
      </c>
      <c r="Y14" t="s">
        <v>271</v>
      </c>
      <c r="Z14" t="s">
        <v>272</v>
      </c>
      <c r="AA14" t="s">
        <v>74</v>
      </c>
      <c r="AB14" t="s">
        <v>74</v>
      </c>
      <c r="AC14" t="s">
        <v>74</v>
      </c>
      <c r="AD14" t="s">
        <v>74</v>
      </c>
      <c r="AE14" t="s">
        <v>74</v>
      </c>
      <c r="AF14" t="s">
        <v>74</v>
      </c>
      <c r="AG14">
        <v>48</v>
      </c>
      <c r="AH14">
        <v>19</v>
      </c>
      <c r="AI14">
        <v>20</v>
      </c>
      <c r="AJ14">
        <v>0</v>
      </c>
      <c r="AK14">
        <v>10</v>
      </c>
      <c r="AL14" t="s">
        <v>136</v>
      </c>
      <c r="AM14" t="s">
        <v>137</v>
      </c>
      <c r="AN14" t="s">
        <v>138</v>
      </c>
      <c r="AO14" t="s">
        <v>139</v>
      </c>
      <c r="AP14" t="s">
        <v>140</v>
      </c>
      <c r="AQ14" t="s">
        <v>74</v>
      </c>
      <c r="AR14" t="s">
        <v>141</v>
      </c>
      <c r="AS14" t="s">
        <v>142</v>
      </c>
      <c r="AT14" t="s">
        <v>94</v>
      </c>
      <c r="AU14">
        <v>2006</v>
      </c>
      <c r="AV14">
        <v>38</v>
      </c>
      <c r="AW14">
        <v>3</v>
      </c>
      <c r="AX14" t="s">
        <v>74</v>
      </c>
      <c r="AY14" t="s">
        <v>74</v>
      </c>
      <c r="AZ14" t="s">
        <v>74</v>
      </c>
      <c r="BA14" t="s">
        <v>74</v>
      </c>
      <c r="BB14">
        <v>394</v>
      </c>
      <c r="BC14">
        <v>398</v>
      </c>
      <c r="BD14" t="s">
        <v>74</v>
      </c>
      <c r="BE14" t="s">
        <v>273</v>
      </c>
      <c r="BF14" t="str">
        <f>HYPERLINK("http://dx.doi.org/10.1657/1523-0430(2006)38[394:ROOAPO]2.0.CO;2","http://dx.doi.org/10.1657/1523-0430(2006)38[394:ROOAPO]2.0.CO;2")</f>
        <v>http://dx.doi.org/10.1657/1523-0430(2006)38[394:ROOAPO]2.0.CO;2</v>
      </c>
      <c r="BG14" t="s">
        <v>74</v>
      </c>
      <c r="BH14" t="s">
        <v>74</v>
      </c>
      <c r="BI14">
        <v>5</v>
      </c>
      <c r="BJ14" t="s">
        <v>144</v>
      </c>
      <c r="BK14" t="s">
        <v>97</v>
      </c>
      <c r="BL14" t="s">
        <v>145</v>
      </c>
      <c r="BM14" t="s">
        <v>146</v>
      </c>
      <c r="BN14" t="s">
        <v>74</v>
      </c>
      <c r="BO14" t="s">
        <v>147</v>
      </c>
      <c r="BP14" t="s">
        <v>74</v>
      </c>
      <c r="BQ14" t="s">
        <v>74</v>
      </c>
      <c r="BR14" t="s">
        <v>100</v>
      </c>
      <c r="BS14" t="s">
        <v>274</v>
      </c>
      <c r="BT14" t="str">
        <f>HYPERLINK("https%3A%2F%2Fwww.webofscience.com%2Fwos%2Fwoscc%2Ffull-record%2FWOS:000240449600011","View Full Record in Web of Science")</f>
        <v>View Full Record in Web of Science</v>
      </c>
    </row>
    <row r="15" spans="1:72" x14ac:dyDescent="0.15">
      <c r="A15" t="s">
        <v>72</v>
      </c>
      <c r="B15" t="s">
        <v>275</v>
      </c>
      <c r="C15" t="s">
        <v>74</v>
      </c>
      <c r="D15" t="s">
        <v>74</v>
      </c>
      <c r="E15" t="s">
        <v>74</v>
      </c>
      <c r="F15" t="s">
        <v>276</v>
      </c>
      <c r="G15" t="s">
        <v>74</v>
      </c>
      <c r="H15" t="s">
        <v>74</v>
      </c>
      <c r="I15" t="s">
        <v>277</v>
      </c>
      <c r="J15" t="s">
        <v>129</v>
      </c>
      <c r="K15" t="s">
        <v>74</v>
      </c>
      <c r="L15" t="s">
        <v>74</v>
      </c>
      <c r="M15" t="s">
        <v>78</v>
      </c>
      <c r="N15" t="s">
        <v>79</v>
      </c>
      <c r="O15" t="s">
        <v>74</v>
      </c>
      <c r="P15" t="s">
        <v>74</v>
      </c>
      <c r="Q15" t="s">
        <v>74</v>
      </c>
      <c r="R15" t="s">
        <v>74</v>
      </c>
      <c r="S15" t="s">
        <v>74</v>
      </c>
      <c r="T15" t="s">
        <v>74</v>
      </c>
      <c r="U15" t="s">
        <v>278</v>
      </c>
      <c r="V15" t="s">
        <v>279</v>
      </c>
      <c r="W15" t="s">
        <v>280</v>
      </c>
      <c r="X15" t="s">
        <v>281</v>
      </c>
      <c r="Y15" t="s">
        <v>282</v>
      </c>
      <c r="Z15" t="s">
        <v>283</v>
      </c>
      <c r="AA15" t="s">
        <v>74</v>
      </c>
      <c r="AB15" t="s">
        <v>74</v>
      </c>
      <c r="AC15" t="s">
        <v>74</v>
      </c>
      <c r="AD15" t="s">
        <v>74</v>
      </c>
      <c r="AE15" t="s">
        <v>74</v>
      </c>
      <c r="AF15" t="s">
        <v>74</v>
      </c>
      <c r="AG15">
        <v>80</v>
      </c>
      <c r="AH15">
        <v>10</v>
      </c>
      <c r="AI15">
        <v>18</v>
      </c>
      <c r="AJ15">
        <v>1</v>
      </c>
      <c r="AK15">
        <v>14</v>
      </c>
      <c r="AL15" t="s">
        <v>160</v>
      </c>
      <c r="AM15" t="s">
        <v>161</v>
      </c>
      <c r="AN15" t="s">
        <v>162</v>
      </c>
      <c r="AO15" t="s">
        <v>139</v>
      </c>
      <c r="AP15" t="s">
        <v>74</v>
      </c>
      <c r="AQ15" t="s">
        <v>74</v>
      </c>
      <c r="AR15" t="s">
        <v>141</v>
      </c>
      <c r="AS15" t="s">
        <v>142</v>
      </c>
      <c r="AT15" t="s">
        <v>94</v>
      </c>
      <c r="AU15">
        <v>2006</v>
      </c>
      <c r="AV15">
        <v>38</v>
      </c>
      <c r="AW15">
        <v>3</v>
      </c>
      <c r="AX15" t="s">
        <v>74</v>
      </c>
      <c r="AY15" t="s">
        <v>74</v>
      </c>
      <c r="AZ15" t="s">
        <v>74</v>
      </c>
      <c r="BA15" t="s">
        <v>74</v>
      </c>
      <c r="BB15">
        <v>399</v>
      </c>
      <c r="BC15">
        <v>412</v>
      </c>
      <c r="BD15" t="s">
        <v>74</v>
      </c>
      <c r="BE15" t="s">
        <v>284</v>
      </c>
      <c r="BF15" t="str">
        <f>HYPERLINK("http://dx.doi.org/10.1657/1523-0430(2006)38[399:HGACFA]2.0.CO;2","http://dx.doi.org/10.1657/1523-0430(2006)38[399:HGACFA]2.0.CO;2")</f>
        <v>http://dx.doi.org/10.1657/1523-0430(2006)38[399:HGACFA]2.0.CO;2</v>
      </c>
      <c r="BG15" t="s">
        <v>74</v>
      </c>
      <c r="BH15" t="s">
        <v>74</v>
      </c>
      <c r="BI15">
        <v>14</v>
      </c>
      <c r="BJ15" t="s">
        <v>144</v>
      </c>
      <c r="BK15" t="s">
        <v>97</v>
      </c>
      <c r="BL15" t="s">
        <v>145</v>
      </c>
      <c r="BM15" t="s">
        <v>146</v>
      </c>
      <c r="BN15" t="s">
        <v>74</v>
      </c>
      <c r="BO15" t="s">
        <v>147</v>
      </c>
      <c r="BP15" t="s">
        <v>74</v>
      </c>
      <c r="BQ15" t="s">
        <v>74</v>
      </c>
      <c r="BR15" t="s">
        <v>100</v>
      </c>
      <c r="BS15" t="s">
        <v>285</v>
      </c>
      <c r="BT15" t="str">
        <f>HYPERLINK("https%3A%2F%2Fwww.webofscience.com%2Fwos%2Fwoscc%2Ffull-record%2FWOS:000240449600012","View Full Record in Web of Science")</f>
        <v>View Full Record in Web of Science</v>
      </c>
    </row>
    <row r="16" spans="1:72" x14ac:dyDescent="0.15">
      <c r="A16" t="s">
        <v>72</v>
      </c>
      <c r="B16" t="s">
        <v>286</v>
      </c>
      <c r="C16" t="s">
        <v>74</v>
      </c>
      <c r="D16" t="s">
        <v>74</v>
      </c>
      <c r="E16" t="s">
        <v>74</v>
      </c>
      <c r="F16" t="s">
        <v>287</v>
      </c>
      <c r="G16" t="s">
        <v>74</v>
      </c>
      <c r="H16" t="s">
        <v>74</v>
      </c>
      <c r="I16" t="s">
        <v>288</v>
      </c>
      <c r="J16" t="s">
        <v>129</v>
      </c>
      <c r="K16" t="s">
        <v>74</v>
      </c>
      <c r="L16" t="s">
        <v>74</v>
      </c>
      <c r="M16" t="s">
        <v>78</v>
      </c>
      <c r="N16" t="s">
        <v>79</v>
      </c>
      <c r="O16" t="s">
        <v>74</v>
      </c>
      <c r="P16" t="s">
        <v>74</v>
      </c>
      <c r="Q16" t="s">
        <v>74</v>
      </c>
      <c r="R16" t="s">
        <v>74</v>
      </c>
      <c r="S16" t="s">
        <v>74</v>
      </c>
      <c r="T16" t="s">
        <v>74</v>
      </c>
      <c r="U16" t="s">
        <v>289</v>
      </c>
      <c r="V16" t="s">
        <v>290</v>
      </c>
      <c r="W16" t="s">
        <v>291</v>
      </c>
      <c r="X16" t="s">
        <v>292</v>
      </c>
      <c r="Y16" t="s">
        <v>293</v>
      </c>
      <c r="Z16" t="s">
        <v>294</v>
      </c>
      <c r="AA16" t="s">
        <v>295</v>
      </c>
      <c r="AB16" t="s">
        <v>296</v>
      </c>
      <c r="AC16" t="s">
        <v>74</v>
      </c>
      <c r="AD16" t="s">
        <v>74</v>
      </c>
      <c r="AE16" t="s">
        <v>74</v>
      </c>
      <c r="AF16" t="s">
        <v>74</v>
      </c>
      <c r="AG16">
        <v>77</v>
      </c>
      <c r="AH16">
        <v>29</v>
      </c>
      <c r="AI16">
        <v>35</v>
      </c>
      <c r="AJ16">
        <v>1</v>
      </c>
      <c r="AK16">
        <v>29</v>
      </c>
      <c r="AL16" t="s">
        <v>136</v>
      </c>
      <c r="AM16" t="s">
        <v>137</v>
      </c>
      <c r="AN16" t="s">
        <v>138</v>
      </c>
      <c r="AO16" t="s">
        <v>139</v>
      </c>
      <c r="AP16" t="s">
        <v>140</v>
      </c>
      <c r="AQ16" t="s">
        <v>74</v>
      </c>
      <c r="AR16" t="s">
        <v>141</v>
      </c>
      <c r="AS16" t="s">
        <v>142</v>
      </c>
      <c r="AT16" t="s">
        <v>94</v>
      </c>
      <c r="AU16">
        <v>2006</v>
      </c>
      <c r="AV16">
        <v>38</v>
      </c>
      <c r="AW16">
        <v>3</v>
      </c>
      <c r="AX16" t="s">
        <v>74</v>
      </c>
      <c r="AY16" t="s">
        <v>74</v>
      </c>
      <c r="AZ16" t="s">
        <v>74</v>
      </c>
      <c r="BA16" t="s">
        <v>74</v>
      </c>
      <c r="BB16">
        <v>413</v>
      </c>
      <c r="BC16">
        <v>420</v>
      </c>
      <c r="BD16" t="s">
        <v>74</v>
      </c>
      <c r="BE16" t="s">
        <v>297</v>
      </c>
      <c r="BF16" t="str">
        <f>HYPERLINK("http://dx.doi.org/10.1657/1523-0430(2006)38[413:SHAHFH]2.0.CO;2","http://dx.doi.org/10.1657/1523-0430(2006)38[413:SHAHFH]2.0.CO;2")</f>
        <v>http://dx.doi.org/10.1657/1523-0430(2006)38[413:SHAHFH]2.0.CO;2</v>
      </c>
      <c r="BG16" t="s">
        <v>74</v>
      </c>
      <c r="BH16" t="s">
        <v>74</v>
      </c>
      <c r="BI16">
        <v>8</v>
      </c>
      <c r="BJ16" t="s">
        <v>144</v>
      </c>
      <c r="BK16" t="s">
        <v>97</v>
      </c>
      <c r="BL16" t="s">
        <v>145</v>
      </c>
      <c r="BM16" t="s">
        <v>146</v>
      </c>
      <c r="BN16" t="s">
        <v>74</v>
      </c>
      <c r="BO16" t="s">
        <v>147</v>
      </c>
      <c r="BP16" t="s">
        <v>74</v>
      </c>
      <c r="BQ16" t="s">
        <v>74</v>
      </c>
      <c r="BR16" t="s">
        <v>100</v>
      </c>
      <c r="BS16" t="s">
        <v>298</v>
      </c>
      <c r="BT16" t="str">
        <f>HYPERLINK("https%3A%2F%2Fwww.webofscience.com%2Fwos%2Fwoscc%2Ffull-record%2FWOS:000240449600013","View Full Record in Web of Science")</f>
        <v>View Full Record in Web of Science</v>
      </c>
    </row>
    <row r="17" spans="1:72" x14ac:dyDescent="0.15">
      <c r="A17" t="s">
        <v>72</v>
      </c>
      <c r="B17" t="s">
        <v>299</v>
      </c>
      <c r="C17" t="s">
        <v>74</v>
      </c>
      <c r="D17" t="s">
        <v>74</v>
      </c>
      <c r="E17" t="s">
        <v>74</v>
      </c>
      <c r="F17" t="s">
        <v>300</v>
      </c>
      <c r="G17" t="s">
        <v>74</v>
      </c>
      <c r="H17" t="s">
        <v>74</v>
      </c>
      <c r="I17" t="s">
        <v>301</v>
      </c>
      <c r="J17" t="s">
        <v>129</v>
      </c>
      <c r="K17" t="s">
        <v>74</v>
      </c>
      <c r="L17" t="s">
        <v>74</v>
      </c>
      <c r="M17" t="s">
        <v>78</v>
      </c>
      <c r="N17" t="s">
        <v>79</v>
      </c>
      <c r="O17" t="s">
        <v>74</v>
      </c>
      <c r="P17" t="s">
        <v>74</v>
      </c>
      <c r="Q17" t="s">
        <v>74</v>
      </c>
      <c r="R17" t="s">
        <v>74</v>
      </c>
      <c r="S17" t="s">
        <v>74</v>
      </c>
      <c r="T17" t="s">
        <v>74</v>
      </c>
      <c r="U17" t="s">
        <v>302</v>
      </c>
      <c r="V17" t="s">
        <v>303</v>
      </c>
      <c r="W17" t="s">
        <v>304</v>
      </c>
      <c r="X17" t="s">
        <v>305</v>
      </c>
      <c r="Y17" t="s">
        <v>306</v>
      </c>
      <c r="Z17" t="s">
        <v>307</v>
      </c>
      <c r="AA17" t="s">
        <v>74</v>
      </c>
      <c r="AB17" t="s">
        <v>74</v>
      </c>
      <c r="AC17" t="s">
        <v>74</v>
      </c>
      <c r="AD17" t="s">
        <v>74</v>
      </c>
      <c r="AE17" t="s">
        <v>74</v>
      </c>
      <c r="AF17" t="s">
        <v>74</v>
      </c>
      <c r="AG17">
        <v>70</v>
      </c>
      <c r="AH17">
        <v>104</v>
      </c>
      <c r="AI17">
        <v>106</v>
      </c>
      <c r="AJ17">
        <v>0</v>
      </c>
      <c r="AK17">
        <v>43</v>
      </c>
      <c r="AL17" t="s">
        <v>136</v>
      </c>
      <c r="AM17" t="s">
        <v>137</v>
      </c>
      <c r="AN17" t="s">
        <v>138</v>
      </c>
      <c r="AO17" t="s">
        <v>139</v>
      </c>
      <c r="AP17" t="s">
        <v>140</v>
      </c>
      <c r="AQ17" t="s">
        <v>74</v>
      </c>
      <c r="AR17" t="s">
        <v>141</v>
      </c>
      <c r="AS17" t="s">
        <v>142</v>
      </c>
      <c r="AT17" t="s">
        <v>94</v>
      </c>
      <c r="AU17">
        <v>2006</v>
      </c>
      <c r="AV17">
        <v>38</v>
      </c>
      <c r="AW17">
        <v>3</v>
      </c>
      <c r="AX17" t="s">
        <v>74</v>
      </c>
      <c r="AY17" t="s">
        <v>74</v>
      </c>
      <c r="AZ17" t="s">
        <v>74</v>
      </c>
      <c r="BA17" t="s">
        <v>74</v>
      </c>
      <c r="BB17">
        <v>421</v>
      </c>
      <c r="BC17">
        <v>428</v>
      </c>
      <c r="BD17" t="s">
        <v>74</v>
      </c>
      <c r="BE17" t="s">
        <v>308</v>
      </c>
      <c r="BF17" t="str">
        <f>HYPERLINK("http://dx.doi.org/10.1657/1523-0430(2006)38[421:VSPADC]2.0.CO;2","http://dx.doi.org/10.1657/1523-0430(2006)38[421:VSPADC]2.0.CO;2")</f>
        <v>http://dx.doi.org/10.1657/1523-0430(2006)38[421:VSPADC]2.0.CO;2</v>
      </c>
      <c r="BG17" t="s">
        <v>74</v>
      </c>
      <c r="BH17" t="s">
        <v>74</v>
      </c>
      <c r="BI17">
        <v>8</v>
      </c>
      <c r="BJ17" t="s">
        <v>144</v>
      </c>
      <c r="BK17" t="s">
        <v>97</v>
      </c>
      <c r="BL17" t="s">
        <v>145</v>
      </c>
      <c r="BM17" t="s">
        <v>146</v>
      </c>
      <c r="BN17" t="s">
        <v>74</v>
      </c>
      <c r="BO17" t="s">
        <v>147</v>
      </c>
      <c r="BP17" t="s">
        <v>74</v>
      </c>
      <c r="BQ17" t="s">
        <v>74</v>
      </c>
      <c r="BR17" t="s">
        <v>100</v>
      </c>
      <c r="BS17" t="s">
        <v>309</v>
      </c>
      <c r="BT17" t="str">
        <f>HYPERLINK("https%3A%2F%2Fwww.webofscience.com%2Fwos%2Fwoscc%2Ffull-record%2FWOS:000240449600014","View Full Record in Web of Science")</f>
        <v>View Full Record in Web of Science</v>
      </c>
    </row>
    <row r="18" spans="1:72" x14ac:dyDescent="0.15">
      <c r="A18" t="s">
        <v>72</v>
      </c>
      <c r="B18" t="s">
        <v>310</v>
      </c>
      <c r="C18" t="s">
        <v>74</v>
      </c>
      <c r="D18" t="s">
        <v>74</v>
      </c>
      <c r="E18" t="s">
        <v>74</v>
      </c>
      <c r="F18" t="s">
        <v>311</v>
      </c>
      <c r="G18" t="s">
        <v>74</v>
      </c>
      <c r="H18" t="s">
        <v>74</v>
      </c>
      <c r="I18" t="s">
        <v>312</v>
      </c>
      <c r="J18" t="s">
        <v>129</v>
      </c>
      <c r="K18" t="s">
        <v>74</v>
      </c>
      <c r="L18" t="s">
        <v>74</v>
      </c>
      <c r="M18" t="s">
        <v>78</v>
      </c>
      <c r="N18" t="s">
        <v>79</v>
      </c>
      <c r="O18" t="s">
        <v>74</v>
      </c>
      <c r="P18" t="s">
        <v>74</v>
      </c>
      <c r="Q18" t="s">
        <v>74</v>
      </c>
      <c r="R18" t="s">
        <v>74</v>
      </c>
      <c r="S18" t="s">
        <v>74</v>
      </c>
      <c r="T18" t="s">
        <v>74</v>
      </c>
      <c r="U18" t="s">
        <v>313</v>
      </c>
      <c r="V18" t="s">
        <v>314</v>
      </c>
      <c r="W18" t="s">
        <v>315</v>
      </c>
      <c r="X18" t="s">
        <v>316</v>
      </c>
      <c r="Y18" t="s">
        <v>317</v>
      </c>
      <c r="Z18" t="s">
        <v>318</v>
      </c>
      <c r="AA18" t="s">
        <v>319</v>
      </c>
      <c r="AB18" t="s">
        <v>74</v>
      </c>
      <c r="AC18" t="s">
        <v>74</v>
      </c>
      <c r="AD18" t="s">
        <v>74</v>
      </c>
      <c r="AE18" t="s">
        <v>74</v>
      </c>
      <c r="AF18" t="s">
        <v>74</v>
      </c>
      <c r="AG18">
        <v>49</v>
      </c>
      <c r="AH18">
        <v>24</v>
      </c>
      <c r="AI18">
        <v>27</v>
      </c>
      <c r="AJ18">
        <v>0</v>
      </c>
      <c r="AK18">
        <v>13</v>
      </c>
      <c r="AL18" t="s">
        <v>136</v>
      </c>
      <c r="AM18" t="s">
        <v>137</v>
      </c>
      <c r="AN18" t="s">
        <v>138</v>
      </c>
      <c r="AO18" t="s">
        <v>139</v>
      </c>
      <c r="AP18" t="s">
        <v>140</v>
      </c>
      <c r="AQ18" t="s">
        <v>74</v>
      </c>
      <c r="AR18" t="s">
        <v>141</v>
      </c>
      <c r="AS18" t="s">
        <v>142</v>
      </c>
      <c r="AT18" t="s">
        <v>94</v>
      </c>
      <c r="AU18">
        <v>2006</v>
      </c>
      <c r="AV18">
        <v>38</v>
      </c>
      <c r="AW18">
        <v>3</v>
      </c>
      <c r="AX18" t="s">
        <v>74</v>
      </c>
      <c r="AY18" t="s">
        <v>74</v>
      </c>
      <c r="AZ18" t="s">
        <v>74</v>
      </c>
      <c r="BA18" t="s">
        <v>74</v>
      </c>
      <c r="BB18">
        <v>429</v>
      </c>
      <c r="BC18">
        <v>435</v>
      </c>
      <c r="BD18" t="s">
        <v>74</v>
      </c>
      <c r="BE18" t="s">
        <v>320</v>
      </c>
      <c r="BF18" t="str">
        <f>HYPERLINK("http://dx.doi.org/10.1657/1523-0430(2006)38[429:TCACOA]2.0.CO;2","http://dx.doi.org/10.1657/1523-0430(2006)38[429:TCACOA]2.0.CO;2")</f>
        <v>http://dx.doi.org/10.1657/1523-0430(2006)38[429:TCACOA]2.0.CO;2</v>
      </c>
      <c r="BG18" t="s">
        <v>74</v>
      </c>
      <c r="BH18" t="s">
        <v>74</v>
      </c>
      <c r="BI18">
        <v>7</v>
      </c>
      <c r="BJ18" t="s">
        <v>144</v>
      </c>
      <c r="BK18" t="s">
        <v>97</v>
      </c>
      <c r="BL18" t="s">
        <v>145</v>
      </c>
      <c r="BM18" t="s">
        <v>146</v>
      </c>
      <c r="BN18" t="s">
        <v>74</v>
      </c>
      <c r="BO18" t="s">
        <v>147</v>
      </c>
      <c r="BP18" t="s">
        <v>74</v>
      </c>
      <c r="BQ18" t="s">
        <v>74</v>
      </c>
      <c r="BR18" t="s">
        <v>100</v>
      </c>
      <c r="BS18" t="s">
        <v>321</v>
      </c>
      <c r="BT18" t="str">
        <f>HYPERLINK("https%3A%2F%2Fwww.webofscience.com%2Fwos%2Fwoscc%2Ffull-record%2FWOS:000240449600015","View Full Record in Web of Science")</f>
        <v>View Full Record in Web of Science</v>
      </c>
    </row>
    <row r="19" spans="1:72" x14ac:dyDescent="0.15">
      <c r="A19" t="s">
        <v>72</v>
      </c>
      <c r="B19" t="s">
        <v>322</v>
      </c>
      <c r="C19" t="s">
        <v>74</v>
      </c>
      <c r="D19" t="s">
        <v>74</v>
      </c>
      <c r="E19" t="s">
        <v>74</v>
      </c>
      <c r="F19" t="s">
        <v>323</v>
      </c>
      <c r="G19" t="s">
        <v>74</v>
      </c>
      <c r="H19" t="s">
        <v>74</v>
      </c>
      <c r="I19" t="s">
        <v>324</v>
      </c>
      <c r="J19" t="s">
        <v>129</v>
      </c>
      <c r="K19" t="s">
        <v>74</v>
      </c>
      <c r="L19" t="s">
        <v>74</v>
      </c>
      <c r="M19" t="s">
        <v>78</v>
      </c>
      <c r="N19" t="s">
        <v>79</v>
      </c>
      <c r="O19" t="s">
        <v>74</v>
      </c>
      <c r="P19" t="s">
        <v>74</v>
      </c>
      <c r="Q19" t="s">
        <v>74</v>
      </c>
      <c r="R19" t="s">
        <v>74</v>
      </c>
      <c r="S19" t="s">
        <v>74</v>
      </c>
      <c r="T19" t="s">
        <v>74</v>
      </c>
      <c r="U19" t="s">
        <v>325</v>
      </c>
      <c r="V19" t="s">
        <v>326</v>
      </c>
      <c r="W19" t="s">
        <v>327</v>
      </c>
      <c r="X19" t="s">
        <v>328</v>
      </c>
      <c r="Y19" t="s">
        <v>329</v>
      </c>
      <c r="Z19" t="s">
        <v>330</v>
      </c>
      <c r="AA19" t="s">
        <v>74</v>
      </c>
      <c r="AB19" t="s">
        <v>74</v>
      </c>
      <c r="AC19" t="s">
        <v>74</v>
      </c>
      <c r="AD19" t="s">
        <v>74</v>
      </c>
      <c r="AE19" t="s">
        <v>74</v>
      </c>
      <c r="AF19" t="s">
        <v>74</v>
      </c>
      <c r="AG19">
        <v>81</v>
      </c>
      <c r="AH19">
        <v>18</v>
      </c>
      <c r="AI19">
        <v>22</v>
      </c>
      <c r="AJ19">
        <v>1</v>
      </c>
      <c r="AK19">
        <v>14</v>
      </c>
      <c r="AL19" t="s">
        <v>136</v>
      </c>
      <c r="AM19" t="s">
        <v>137</v>
      </c>
      <c r="AN19" t="s">
        <v>138</v>
      </c>
      <c r="AO19" t="s">
        <v>139</v>
      </c>
      <c r="AP19" t="s">
        <v>140</v>
      </c>
      <c r="AQ19" t="s">
        <v>74</v>
      </c>
      <c r="AR19" t="s">
        <v>141</v>
      </c>
      <c r="AS19" t="s">
        <v>142</v>
      </c>
      <c r="AT19" t="s">
        <v>94</v>
      </c>
      <c r="AU19">
        <v>2006</v>
      </c>
      <c r="AV19">
        <v>38</v>
      </c>
      <c r="AW19">
        <v>3</v>
      </c>
      <c r="AX19" t="s">
        <v>74</v>
      </c>
      <c r="AY19" t="s">
        <v>74</v>
      </c>
      <c r="AZ19" t="s">
        <v>74</v>
      </c>
      <c r="BA19" t="s">
        <v>74</v>
      </c>
      <c r="BB19">
        <v>436</v>
      </c>
      <c r="BC19">
        <v>445</v>
      </c>
      <c r="BD19" t="s">
        <v>74</v>
      </c>
      <c r="BE19" t="s">
        <v>331</v>
      </c>
      <c r="BF19" t="str">
        <f>HYPERLINK("http://dx.doi.org/10.1657/1523-0430(2006)38[436:AYROHM]2.0.CO;2","http://dx.doi.org/10.1657/1523-0430(2006)38[436:AYROHM]2.0.CO;2")</f>
        <v>http://dx.doi.org/10.1657/1523-0430(2006)38[436:AYROHM]2.0.CO;2</v>
      </c>
      <c r="BG19" t="s">
        <v>74</v>
      </c>
      <c r="BH19" t="s">
        <v>74</v>
      </c>
      <c r="BI19">
        <v>10</v>
      </c>
      <c r="BJ19" t="s">
        <v>144</v>
      </c>
      <c r="BK19" t="s">
        <v>97</v>
      </c>
      <c r="BL19" t="s">
        <v>145</v>
      </c>
      <c r="BM19" t="s">
        <v>146</v>
      </c>
      <c r="BN19" t="s">
        <v>74</v>
      </c>
      <c r="BO19" t="s">
        <v>227</v>
      </c>
      <c r="BP19" t="s">
        <v>74</v>
      </c>
      <c r="BQ19" t="s">
        <v>74</v>
      </c>
      <c r="BR19" t="s">
        <v>100</v>
      </c>
      <c r="BS19" t="s">
        <v>332</v>
      </c>
      <c r="BT19" t="str">
        <f>HYPERLINK("https%3A%2F%2Fwww.webofscience.com%2Fwos%2Fwoscc%2Ffull-record%2FWOS:000240449600016","View Full Record in Web of Science")</f>
        <v>View Full Record in Web of Science</v>
      </c>
    </row>
    <row r="20" spans="1:72" x14ac:dyDescent="0.15">
      <c r="A20" t="s">
        <v>72</v>
      </c>
      <c r="B20" t="s">
        <v>333</v>
      </c>
      <c r="C20" t="s">
        <v>74</v>
      </c>
      <c r="D20" t="s">
        <v>74</v>
      </c>
      <c r="E20" t="s">
        <v>74</v>
      </c>
      <c r="F20" t="s">
        <v>334</v>
      </c>
      <c r="G20" t="s">
        <v>74</v>
      </c>
      <c r="H20" t="s">
        <v>74</v>
      </c>
      <c r="I20" t="s">
        <v>335</v>
      </c>
      <c r="J20" t="s">
        <v>129</v>
      </c>
      <c r="K20" t="s">
        <v>74</v>
      </c>
      <c r="L20" t="s">
        <v>74</v>
      </c>
      <c r="M20" t="s">
        <v>78</v>
      </c>
      <c r="N20" t="s">
        <v>79</v>
      </c>
      <c r="O20" t="s">
        <v>74</v>
      </c>
      <c r="P20" t="s">
        <v>74</v>
      </c>
      <c r="Q20" t="s">
        <v>74</v>
      </c>
      <c r="R20" t="s">
        <v>74</v>
      </c>
      <c r="S20" t="s">
        <v>74</v>
      </c>
      <c r="T20" t="s">
        <v>74</v>
      </c>
      <c r="U20" t="s">
        <v>336</v>
      </c>
      <c r="V20" t="s">
        <v>337</v>
      </c>
      <c r="W20" t="s">
        <v>338</v>
      </c>
      <c r="X20" t="s">
        <v>339</v>
      </c>
      <c r="Y20" t="s">
        <v>340</v>
      </c>
      <c r="Z20" t="s">
        <v>341</v>
      </c>
      <c r="AA20" t="s">
        <v>74</v>
      </c>
      <c r="AB20" t="s">
        <v>74</v>
      </c>
      <c r="AC20" t="s">
        <v>74</v>
      </c>
      <c r="AD20" t="s">
        <v>74</v>
      </c>
      <c r="AE20" t="s">
        <v>74</v>
      </c>
      <c r="AF20" t="s">
        <v>74</v>
      </c>
      <c r="AG20">
        <v>39</v>
      </c>
      <c r="AH20">
        <v>11</v>
      </c>
      <c r="AI20">
        <v>14</v>
      </c>
      <c r="AJ20">
        <v>4</v>
      </c>
      <c r="AK20">
        <v>35</v>
      </c>
      <c r="AL20" t="s">
        <v>160</v>
      </c>
      <c r="AM20" t="s">
        <v>161</v>
      </c>
      <c r="AN20" t="s">
        <v>162</v>
      </c>
      <c r="AO20" t="s">
        <v>139</v>
      </c>
      <c r="AP20" t="s">
        <v>74</v>
      </c>
      <c r="AQ20" t="s">
        <v>74</v>
      </c>
      <c r="AR20" t="s">
        <v>141</v>
      </c>
      <c r="AS20" t="s">
        <v>142</v>
      </c>
      <c r="AT20" t="s">
        <v>94</v>
      </c>
      <c r="AU20">
        <v>2006</v>
      </c>
      <c r="AV20">
        <v>38</v>
      </c>
      <c r="AW20">
        <v>3</v>
      </c>
      <c r="AX20" t="s">
        <v>74</v>
      </c>
      <c r="AY20" t="s">
        <v>74</v>
      </c>
      <c r="AZ20" t="s">
        <v>74</v>
      </c>
      <c r="BA20" t="s">
        <v>74</v>
      </c>
      <c r="BB20">
        <v>446</v>
      </c>
      <c r="BC20">
        <v>453</v>
      </c>
      <c r="BD20" t="s">
        <v>74</v>
      </c>
      <c r="BE20" t="s">
        <v>342</v>
      </c>
      <c r="BF20" t="str">
        <f>HYPERLINK("http://dx.doi.org/10.1657/1523-0430(2006)38[446:APESOP]2.0.CO;2","http://dx.doi.org/10.1657/1523-0430(2006)38[446:APESOP]2.0.CO;2")</f>
        <v>http://dx.doi.org/10.1657/1523-0430(2006)38[446:APESOP]2.0.CO;2</v>
      </c>
      <c r="BG20" t="s">
        <v>74</v>
      </c>
      <c r="BH20" t="s">
        <v>74</v>
      </c>
      <c r="BI20">
        <v>8</v>
      </c>
      <c r="BJ20" t="s">
        <v>144</v>
      </c>
      <c r="BK20" t="s">
        <v>97</v>
      </c>
      <c r="BL20" t="s">
        <v>145</v>
      </c>
      <c r="BM20" t="s">
        <v>146</v>
      </c>
      <c r="BN20" t="s">
        <v>74</v>
      </c>
      <c r="BO20" t="s">
        <v>147</v>
      </c>
      <c r="BP20" t="s">
        <v>74</v>
      </c>
      <c r="BQ20" t="s">
        <v>74</v>
      </c>
      <c r="BR20" t="s">
        <v>100</v>
      </c>
      <c r="BS20" t="s">
        <v>343</v>
      </c>
      <c r="BT20" t="str">
        <f>HYPERLINK("https%3A%2F%2Fwww.webofscience.com%2Fwos%2Fwoscc%2Ffull-record%2FWOS:000240449600017","View Full Record in Web of Science")</f>
        <v>View Full Record in Web of Science</v>
      </c>
    </row>
    <row r="21" spans="1:72" x14ac:dyDescent="0.15">
      <c r="A21" t="s">
        <v>72</v>
      </c>
      <c r="B21" t="s">
        <v>344</v>
      </c>
      <c r="C21" t="s">
        <v>74</v>
      </c>
      <c r="D21" t="s">
        <v>74</v>
      </c>
      <c r="E21" t="s">
        <v>74</v>
      </c>
      <c r="F21" t="s">
        <v>345</v>
      </c>
      <c r="G21" t="s">
        <v>74</v>
      </c>
      <c r="H21" t="s">
        <v>74</v>
      </c>
      <c r="I21" t="s">
        <v>346</v>
      </c>
      <c r="J21" t="s">
        <v>129</v>
      </c>
      <c r="K21" t="s">
        <v>74</v>
      </c>
      <c r="L21" t="s">
        <v>74</v>
      </c>
      <c r="M21" t="s">
        <v>78</v>
      </c>
      <c r="N21" t="s">
        <v>79</v>
      </c>
      <c r="O21" t="s">
        <v>74</v>
      </c>
      <c r="P21" t="s">
        <v>74</v>
      </c>
      <c r="Q21" t="s">
        <v>74</v>
      </c>
      <c r="R21" t="s">
        <v>74</v>
      </c>
      <c r="S21" t="s">
        <v>74</v>
      </c>
      <c r="T21" t="s">
        <v>74</v>
      </c>
      <c r="U21" t="s">
        <v>74</v>
      </c>
      <c r="V21" t="s">
        <v>347</v>
      </c>
      <c r="W21" t="s">
        <v>348</v>
      </c>
      <c r="X21" t="s">
        <v>349</v>
      </c>
      <c r="Y21" t="s">
        <v>350</v>
      </c>
      <c r="Z21" t="s">
        <v>351</v>
      </c>
      <c r="AA21" t="s">
        <v>74</v>
      </c>
      <c r="AB21" t="s">
        <v>352</v>
      </c>
      <c r="AC21" t="s">
        <v>74</v>
      </c>
      <c r="AD21" t="s">
        <v>74</v>
      </c>
      <c r="AE21" t="s">
        <v>74</v>
      </c>
      <c r="AF21" t="s">
        <v>74</v>
      </c>
      <c r="AG21">
        <v>29</v>
      </c>
      <c r="AH21">
        <v>5</v>
      </c>
      <c r="AI21">
        <v>5</v>
      </c>
      <c r="AJ21">
        <v>0</v>
      </c>
      <c r="AK21">
        <v>4</v>
      </c>
      <c r="AL21" t="s">
        <v>136</v>
      </c>
      <c r="AM21" t="s">
        <v>137</v>
      </c>
      <c r="AN21" t="s">
        <v>138</v>
      </c>
      <c r="AO21" t="s">
        <v>139</v>
      </c>
      <c r="AP21" t="s">
        <v>140</v>
      </c>
      <c r="AQ21" t="s">
        <v>74</v>
      </c>
      <c r="AR21" t="s">
        <v>141</v>
      </c>
      <c r="AS21" t="s">
        <v>142</v>
      </c>
      <c r="AT21" t="s">
        <v>94</v>
      </c>
      <c r="AU21">
        <v>2006</v>
      </c>
      <c r="AV21">
        <v>38</v>
      </c>
      <c r="AW21">
        <v>3</v>
      </c>
      <c r="AX21" t="s">
        <v>74</v>
      </c>
      <c r="AY21" t="s">
        <v>74</v>
      </c>
      <c r="AZ21" t="s">
        <v>74</v>
      </c>
      <c r="BA21" t="s">
        <v>74</v>
      </c>
      <c r="BB21">
        <v>454</v>
      </c>
      <c r="BC21">
        <v>464</v>
      </c>
      <c r="BD21" t="s">
        <v>74</v>
      </c>
      <c r="BE21" t="s">
        <v>353</v>
      </c>
      <c r="BF21" t="str">
        <f>HYPERLINK("http://dx.doi.org/10.1657/1523-0430(2006)38[454:OTMIAO]2.0.CO;2","http://dx.doi.org/10.1657/1523-0430(2006)38[454:OTMIAO]2.0.CO;2")</f>
        <v>http://dx.doi.org/10.1657/1523-0430(2006)38[454:OTMIAO]2.0.CO;2</v>
      </c>
      <c r="BG21" t="s">
        <v>74</v>
      </c>
      <c r="BH21" t="s">
        <v>74</v>
      </c>
      <c r="BI21">
        <v>11</v>
      </c>
      <c r="BJ21" t="s">
        <v>144</v>
      </c>
      <c r="BK21" t="s">
        <v>97</v>
      </c>
      <c r="BL21" t="s">
        <v>145</v>
      </c>
      <c r="BM21" t="s">
        <v>146</v>
      </c>
      <c r="BN21" t="s">
        <v>74</v>
      </c>
      <c r="BO21" t="s">
        <v>147</v>
      </c>
      <c r="BP21" t="s">
        <v>74</v>
      </c>
      <c r="BQ21" t="s">
        <v>74</v>
      </c>
      <c r="BR21" t="s">
        <v>100</v>
      </c>
      <c r="BS21" t="s">
        <v>354</v>
      </c>
      <c r="BT21" t="str">
        <f>HYPERLINK("https%3A%2F%2Fwww.webofscience.com%2Fwos%2Fwoscc%2Ffull-record%2FWOS:000240449600018","View Full Record in Web of Science")</f>
        <v>View Full Record in Web of Science</v>
      </c>
    </row>
    <row r="22" spans="1:72" x14ac:dyDescent="0.15">
      <c r="A22" t="s">
        <v>72</v>
      </c>
      <c r="B22" t="s">
        <v>355</v>
      </c>
      <c r="C22" t="s">
        <v>74</v>
      </c>
      <c r="D22" t="s">
        <v>74</v>
      </c>
      <c r="E22" t="s">
        <v>74</v>
      </c>
      <c r="F22" t="s">
        <v>356</v>
      </c>
      <c r="G22" t="s">
        <v>74</v>
      </c>
      <c r="H22" t="s">
        <v>74</v>
      </c>
      <c r="I22" t="s">
        <v>357</v>
      </c>
      <c r="J22" t="s">
        <v>129</v>
      </c>
      <c r="K22" t="s">
        <v>74</v>
      </c>
      <c r="L22" t="s">
        <v>74</v>
      </c>
      <c r="M22" t="s">
        <v>78</v>
      </c>
      <c r="N22" t="s">
        <v>79</v>
      </c>
      <c r="O22" t="s">
        <v>74</v>
      </c>
      <c r="P22" t="s">
        <v>74</v>
      </c>
      <c r="Q22" t="s">
        <v>74</v>
      </c>
      <c r="R22" t="s">
        <v>74</v>
      </c>
      <c r="S22" t="s">
        <v>74</v>
      </c>
      <c r="T22" t="s">
        <v>74</v>
      </c>
      <c r="U22" t="s">
        <v>358</v>
      </c>
      <c r="V22" t="s">
        <v>359</v>
      </c>
      <c r="W22" t="s">
        <v>360</v>
      </c>
      <c r="X22" t="s">
        <v>361</v>
      </c>
      <c r="Y22" t="s">
        <v>362</v>
      </c>
      <c r="Z22" t="s">
        <v>363</v>
      </c>
      <c r="AA22" t="s">
        <v>364</v>
      </c>
      <c r="AB22" t="s">
        <v>365</v>
      </c>
      <c r="AC22" t="s">
        <v>74</v>
      </c>
      <c r="AD22" t="s">
        <v>74</v>
      </c>
      <c r="AE22" t="s">
        <v>74</v>
      </c>
      <c r="AF22" t="s">
        <v>74</v>
      </c>
      <c r="AG22">
        <v>77</v>
      </c>
      <c r="AH22">
        <v>67</v>
      </c>
      <c r="AI22">
        <v>83</v>
      </c>
      <c r="AJ22">
        <v>1</v>
      </c>
      <c r="AK22">
        <v>32</v>
      </c>
      <c r="AL22" t="s">
        <v>136</v>
      </c>
      <c r="AM22" t="s">
        <v>137</v>
      </c>
      <c r="AN22" t="s">
        <v>138</v>
      </c>
      <c r="AO22" t="s">
        <v>139</v>
      </c>
      <c r="AP22" t="s">
        <v>140</v>
      </c>
      <c r="AQ22" t="s">
        <v>74</v>
      </c>
      <c r="AR22" t="s">
        <v>141</v>
      </c>
      <c r="AS22" t="s">
        <v>142</v>
      </c>
      <c r="AT22" t="s">
        <v>94</v>
      </c>
      <c r="AU22">
        <v>2006</v>
      </c>
      <c r="AV22">
        <v>38</v>
      </c>
      <c r="AW22">
        <v>3</v>
      </c>
      <c r="AX22" t="s">
        <v>74</v>
      </c>
      <c r="AY22" t="s">
        <v>74</v>
      </c>
      <c r="AZ22" t="s">
        <v>74</v>
      </c>
      <c r="BA22" t="s">
        <v>74</v>
      </c>
      <c r="BB22">
        <v>465</v>
      </c>
      <c r="BC22">
        <v>476</v>
      </c>
      <c r="BD22" t="s">
        <v>74</v>
      </c>
      <c r="BE22" t="s">
        <v>366</v>
      </c>
      <c r="BF22" t="str">
        <f>HYPERLINK("http://dx.doi.org/10.1657/1523-0430(2006)38[465:ACROAN]2.0.CO;2","http://dx.doi.org/10.1657/1523-0430(2006)38[465:ACROAN]2.0.CO;2")</f>
        <v>http://dx.doi.org/10.1657/1523-0430(2006)38[465:ACROAN]2.0.CO;2</v>
      </c>
      <c r="BG22" t="s">
        <v>74</v>
      </c>
      <c r="BH22" t="s">
        <v>74</v>
      </c>
      <c r="BI22">
        <v>12</v>
      </c>
      <c r="BJ22" t="s">
        <v>144</v>
      </c>
      <c r="BK22" t="s">
        <v>97</v>
      </c>
      <c r="BL22" t="s">
        <v>145</v>
      </c>
      <c r="BM22" t="s">
        <v>146</v>
      </c>
      <c r="BN22" t="s">
        <v>74</v>
      </c>
      <c r="BO22" t="s">
        <v>164</v>
      </c>
      <c r="BP22" t="s">
        <v>74</v>
      </c>
      <c r="BQ22" t="s">
        <v>74</v>
      </c>
      <c r="BR22" t="s">
        <v>100</v>
      </c>
      <c r="BS22" t="s">
        <v>367</v>
      </c>
      <c r="BT22" t="str">
        <f>HYPERLINK("https%3A%2F%2Fwww.webofscience.com%2Fwos%2Fwoscc%2Ffull-record%2FWOS:000240449600019","View Full Record in Web of Science")</f>
        <v>View Full Record in Web of Science</v>
      </c>
    </row>
    <row r="23" spans="1:72" x14ac:dyDescent="0.15">
      <c r="A23" t="s">
        <v>72</v>
      </c>
      <c r="B23" t="s">
        <v>368</v>
      </c>
      <c r="C23" t="s">
        <v>74</v>
      </c>
      <c r="D23" t="s">
        <v>74</v>
      </c>
      <c r="E23" t="s">
        <v>74</v>
      </c>
      <c r="F23" t="s">
        <v>369</v>
      </c>
      <c r="G23" t="s">
        <v>74</v>
      </c>
      <c r="H23" t="s">
        <v>74</v>
      </c>
      <c r="I23" t="s">
        <v>370</v>
      </c>
      <c r="J23" t="s">
        <v>129</v>
      </c>
      <c r="K23" t="s">
        <v>74</v>
      </c>
      <c r="L23" t="s">
        <v>74</v>
      </c>
      <c r="M23" t="s">
        <v>78</v>
      </c>
      <c r="N23" t="s">
        <v>371</v>
      </c>
      <c r="O23" t="s">
        <v>74</v>
      </c>
      <c r="P23" t="s">
        <v>74</v>
      </c>
      <c r="Q23" t="s">
        <v>74</v>
      </c>
      <c r="R23" t="s">
        <v>74</v>
      </c>
      <c r="S23" t="s">
        <v>74</v>
      </c>
      <c r="T23" t="s">
        <v>74</v>
      </c>
      <c r="U23" t="s">
        <v>74</v>
      </c>
      <c r="V23" t="s">
        <v>74</v>
      </c>
      <c r="W23" t="s">
        <v>74</v>
      </c>
      <c r="X23" t="s">
        <v>74</v>
      </c>
      <c r="Y23" t="s">
        <v>74</v>
      </c>
      <c r="Z23" t="s">
        <v>74</v>
      </c>
      <c r="AA23" t="s">
        <v>372</v>
      </c>
      <c r="AB23" t="s">
        <v>74</v>
      </c>
      <c r="AC23" t="s">
        <v>74</v>
      </c>
      <c r="AD23" t="s">
        <v>74</v>
      </c>
      <c r="AE23" t="s">
        <v>74</v>
      </c>
      <c r="AF23" t="s">
        <v>74</v>
      </c>
      <c r="AG23">
        <v>1</v>
      </c>
      <c r="AH23">
        <v>0</v>
      </c>
      <c r="AI23">
        <v>0</v>
      </c>
      <c r="AJ23">
        <v>0</v>
      </c>
      <c r="AK23">
        <v>5</v>
      </c>
      <c r="AL23" t="s">
        <v>160</v>
      </c>
      <c r="AM23" t="s">
        <v>161</v>
      </c>
      <c r="AN23" t="s">
        <v>162</v>
      </c>
      <c r="AO23" t="s">
        <v>139</v>
      </c>
      <c r="AP23" t="s">
        <v>74</v>
      </c>
      <c r="AQ23" t="s">
        <v>74</v>
      </c>
      <c r="AR23" t="s">
        <v>141</v>
      </c>
      <c r="AS23" t="s">
        <v>142</v>
      </c>
      <c r="AT23" t="s">
        <v>94</v>
      </c>
      <c r="AU23">
        <v>2006</v>
      </c>
      <c r="AV23">
        <v>38</v>
      </c>
      <c r="AW23">
        <v>3</v>
      </c>
      <c r="AX23" t="s">
        <v>74</v>
      </c>
      <c r="AY23" t="s">
        <v>74</v>
      </c>
      <c r="AZ23" t="s">
        <v>74</v>
      </c>
      <c r="BA23" t="s">
        <v>74</v>
      </c>
      <c r="BB23">
        <v>479</v>
      </c>
      <c r="BC23">
        <v>479</v>
      </c>
      <c r="BD23" t="s">
        <v>74</v>
      </c>
      <c r="BE23" t="s">
        <v>74</v>
      </c>
      <c r="BF23" t="s">
        <v>74</v>
      </c>
      <c r="BG23" t="s">
        <v>74</v>
      </c>
      <c r="BH23" t="s">
        <v>74</v>
      </c>
      <c r="BI23">
        <v>1</v>
      </c>
      <c r="BJ23" t="s">
        <v>144</v>
      </c>
      <c r="BK23" t="s">
        <v>97</v>
      </c>
      <c r="BL23" t="s">
        <v>145</v>
      </c>
      <c r="BM23" t="s">
        <v>146</v>
      </c>
      <c r="BN23" t="s">
        <v>74</v>
      </c>
      <c r="BO23" t="s">
        <v>74</v>
      </c>
      <c r="BP23" t="s">
        <v>74</v>
      </c>
      <c r="BQ23" t="s">
        <v>74</v>
      </c>
      <c r="BR23" t="s">
        <v>100</v>
      </c>
      <c r="BS23" t="s">
        <v>373</v>
      </c>
      <c r="BT23" t="str">
        <f>HYPERLINK("https%3A%2F%2Fwww.webofscience.com%2Fwos%2Fwoscc%2Ffull-record%2FWOS:000240449600020","View Full Record in Web of Science")</f>
        <v>View Full Record in Web of Science</v>
      </c>
    </row>
    <row r="24" spans="1:72" x14ac:dyDescent="0.15">
      <c r="A24" t="s">
        <v>72</v>
      </c>
      <c r="B24" t="s">
        <v>374</v>
      </c>
      <c r="C24" t="s">
        <v>74</v>
      </c>
      <c r="D24" t="s">
        <v>74</v>
      </c>
      <c r="E24" t="s">
        <v>74</v>
      </c>
      <c r="F24" t="s">
        <v>375</v>
      </c>
      <c r="G24" t="s">
        <v>74</v>
      </c>
      <c r="H24" t="s">
        <v>74</v>
      </c>
      <c r="I24" t="s">
        <v>376</v>
      </c>
      <c r="J24" t="s">
        <v>377</v>
      </c>
      <c r="K24" t="s">
        <v>74</v>
      </c>
      <c r="L24" t="s">
        <v>74</v>
      </c>
      <c r="M24" t="s">
        <v>78</v>
      </c>
      <c r="N24" t="s">
        <v>79</v>
      </c>
      <c r="O24" t="s">
        <v>74</v>
      </c>
      <c r="P24" t="s">
        <v>74</v>
      </c>
      <c r="Q24" t="s">
        <v>74</v>
      </c>
      <c r="R24" t="s">
        <v>74</v>
      </c>
      <c r="S24" t="s">
        <v>74</v>
      </c>
      <c r="T24" t="s">
        <v>378</v>
      </c>
      <c r="U24" t="s">
        <v>379</v>
      </c>
      <c r="V24" t="s">
        <v>380</v>
      </c>
      <c r="W24" t="s">
        <v>381</v>
      </c>
      <c r="X24" t="s">
        <v>382</v>
      </c>
      <c r="Y24" t="s">
        <v>383</v>
      </c>
      <c r="Z24" t="s">
        <v>384</v>
      </c>
      <c r="AA24" t="s">
        <v>385</v>
      </c>
      <c r="AB24" t="s">
        <v>386</v>
      </c>
      <c r="AC24" t="s">
        <v>74</v>
      </c>
      <c r="AD24" t="s">
        <v>74</v>
      </c>
      <c r="AE24" t="s">
        <v>74</v>
      </c>
      <c r="AF24" t="s">
        <v>74</v>
      </c>
      <c r="AG24">
        <v>31</v>
      </c>
      <c r="AH24">
        <v>17</v>
      </c>
      <c r="AI24">
        <v>18</v>
      </c>
      <c r="AJ24">
        <v>0</v>
      </c>
      <c r="AK24">
        <v>15</v>
      </c>
      <c r="AL24" t="s">
        <v>387</v>
      </c>
      <c r="AM24" t="s">
        <v>388</v>
      </c>
      <c r="AN24" t="s">
        <v>389</v>
      </c>
      <c r="AO24" t="s">
        <v>390</v>
      </c>
      <c r="AP24" t="s">
        <v>391</v>
      </c>
      <c r="AQ24" t="s">
        <v>74</v>
      </c>
      <c r="AR24" t="s">
        <v>392</v>
      </c>
      <c r="AS24" t="s">
        <v>393</v>
      </c>
      <c r="AT24" t="s">
        <v>94</v>
      </c>
      <c r="AU24">
        <v>2006</v>
      </c>
      <c r="AV24">
        <v>40</v>
      </c>
      <c r="AW24">
        <v>25</v>
      </c>
      <c r="AX24" t="s">
        <v>74</v>
      </c>
      <c r="AY24" t="s">
        <v>74</v>
      </c>
      <c r="AZ24" t="s">
        <v>74</v>
      </c>
      <c r="BA24" t="s">
        <v>74</v>
      </c>
      <c r="BB24">
        <v>4691</v>
      </c>
      <c r="BC24">
        <v>4702</v>
      </c>
      <c r="BD24" t="s">
        <v>74</v>
      </c>
      <c r="BE24" t="s">
        <v>394</v>
      </c>
      <c r="BF24" t="str">
        <f>HYPERLINK("http://dx.doi.org/10.1016/j.atmosenv.2006.04.033","http://dx.doi.org/10.1016/j.atmosenv.2006.04.033")</f>
        <v>http://dx.doi.org/10.1016/j.atmosenv.2006.04.033</v>
      </c>
      <c r="BG24" t="s">
        <v>74</v>
      </c>
      <c r="BH24" t="s">
        <v>74</v>
      </c>
      <c r="BI24">
        <v>12</v>
      </c>
      <c r="BJ24" t="s">
        <v>395</v>
      </c>
      <c r="BK24" t="s">
        <v>97</v>
      </c>
      <c r="BL24" t="s">
        <v>396</v>
      </c>
      <c r="BM24" t="s">
        <v>397</v>
      </c>
      <c r="BN24" t="s">
        <v>74</v>
      </c>
      <c r="BO24" t="s">
        <v>74</v>
      </c>
      <c r="BP24" t="s">
        <v>74</v>
      </c>
      <c r="BQ24" t="s">
        <v>74</v>
      </c>
      <c r="BR24" t="s">
        <v>100</v>
      </c>
      <c r="BS24" t="s">
        <v>398</v>
      </c>
      <c r="BT24" t="str">
        <f>HYPERLINK("https%3A%2F%2Fwww.webofscience.com%2Fwos%2Fwoscc%2Ffull-record%2FWOS:000239820600005","View Full Record in Web of Science")</f>
        <v>View Full Record in Web of Science</v>
      </c>
    </row>
    <row r="25" spans="1:72" x14ac:dyDescent="0.15">
      <c r="A25" t="s">
        <v>72</v>
      </c>
      <c r="B25" t="s">
        <v>399</v>
      </c>
      <c r="C25" t="s">
        <v>74</v>
      </c>
      <c r="D25" t="s">
        <v>74</v>
      </c>
      <c r="E25" t="s">
        <v>74</v>
      </c>
      <c r="F25" t="s">
        <v>400</v>
      </c>
      <c r="G25" t="s">
        <v>74</v>
      </c>
      <c r="H25" t="s">
        <v>74</v>
      </c>
      <c r="I25" t="s">
        <v>401</v>
      </c>
      <c r="J25" t="s">
        <v>402</v>
      </c>
      <c r="K25" t="s">
        <v>74</v>
      </c>
      <c r="L25" t="s">
        <v>74</v>
      </c>
      <c r="M25" t="s">
        <v>78</v>
      </c>
      <c r="N25" t="s">
        <v>79</v>
      </c>
      <c r="O25" t="s">
        <v>74</v>
      </c>
      <c r="P25" t="s">
        <v>74</v>
      </c>
      <c r="Q25" t="s">
        <v>74</v>
      </c>
      <c r="R25" t="s">
        <v>74</v>
      </c>
      <c r="S25" t="s">
        <v>74</v>
      </c>
      <c r="T25" t="s">
        <v>403</v>
      </c>
      <c r="U25" t="s">
        <v>404</v>
      </c>
      <c r="V25" t="s">
        <v>405</v>
      </c>
      <c r="W25" t="s">
        <v>406</v>
      </c>
      <c r="X25" t="s">
        <v>407</v>
      </c>
      <c r="Y25" t="s">
        <v>408</v>
      </c>
      <c r="Z25" t="s">
        <v>409</v>
      </c>
      <c r="AA25" t="s">
        <v>410</v>
      </c>
      <c r="AB25" t="s">
        <v>411</v>
      </c>
      <c r="AC25" t="s">
        <v>412</v>
      </c>
      <c r="AD25" t="s">
        <v>413</v>
      </c>
      <c r="AE25" t="s">
        <v>74</v>
      </c>
      <c r="AF25" t="s">
        <v>74</v>
      </c>
      <c r="AG25">
        <v>57</v>
      </c>
      <c r="AH25">
        <v>50</v>
      </c>
      <c r="AI25">
        <v>51</v>
      </c>
      <c r="AJ25">
        <v>0</v>
      </c>
      <c r="AK25">
        <v>12</v>
      </c>
      <c r="AL25" t="s">
        <v>115</v>
      </c>
      <c r="AM25" t="s">
        <v>116</v>
      </c>
      <c r="AN25" t="s">
        <v>117</v>
      </c>
      <c r="AO25" t="s">
        <v>414</v>
      </c>
      <c r="AP25" t="s">
        <v>415</v>
      </c>
      <c r="AQ25" t="s">
        <v>74</v>
      </c>
      <c r="AR25" t="s">
        <v>416</v>
      </c>
      <c r="AS25" t="s">
        <v>417</v>
      </c>
      <c r="AT25" t="s">
        <v>94</v>
      </c>
      <c r="AU25">
        <v>2006</v>
      </c>
      <c r="AV25">
        <v>31</v>
      </c>
      <c r="AW25">
        <v>5</v>
      </c>
      <c r="AX25" t="s">
        <v>74</v>
      </c>
      <c r="AY25" t="s">
        <v>74</v>
      </c>
      <c r="AZ25" t="s">
        <v>74</v>
      </c>
      <c r="BA25" t="s">
        <v>74</v>
      </c>
      <c r="BB25">
        <v>656</v>
      </c>
      <c r="BC25">
        <v>666</v>
      </c>
      <c r="BD25" t="s">
        <v>74</v>
      </c>
      <c r="BE25" t="s">
        <v>418</v>
      </c>
      <c r="BF25" t="str">
        <f>HYPERLINK("http://dx.doi.org/10.1111/j.1442-9993.2006.01618.x","http://dx.doi.org/10.1111/j.1442-9993.2006.01618.x")</f>
        <v>http://dx.doi.org/10.1111/j.1442-9993.2006.01618.x</v>
      </c>
      <c r="BG25" t="s">
        <v>74</v>
      </c>
      <c r="BH25" t="s">
        <v>74</v>
      </c>
      <c r="BI25">
        <v>11</v>
      </c>
      <c r="BJ25" t="s">
        <v>419</v>
      </c>
      <c r="BK25" t="s">
        <v>97</v>
      </c>
      <c r="BL25" t="s">
        <v>420</v>
      </c>
      <c r="BM25" t="s">
        <v>421</v>
      </c>
      <c r="BN25" t="s">
        <v>74</v>
      </c>
      <c r="BO25" t="s">
        <v>74</v>
      </c>
      <c r="BP25" t="s">
        <v>74</v>
      </c>
      <c r="BQ25" t="s">
        <v>74</v>
      </c>
      <c r="BR25" t="s">
        <v>100</v>
      </c>
      <c r="BS25" t="s">
        <v>422</v>
      </c>
      <c r="BT25" t="str">
        <f>HYPERLINK("https%3A%2F%2Fwww.webofscience.com%2Fwos%2Fwoscc%2Ffull-record%2FWOS:000239112400013","View Full Record in Web of Science")</f>
        <v>View Full Record in Web of Science</v>
      </c>
    </row>
    <row r="26" spans="1:72" x14ac:dyDescent="0.15">
      <c r="A26" t="s">
        <v>72</v>
      </c>
      <c r="B26" t="s">
        <v>423</v>
      </c>
      <c r="C26" t="s">
        <v>74</v>
      </c>
      <c r="D26" t="s">
        <v>74</v>
      </c>
      <c r="E26" t="s">
        <v>74</v>
      </c>
      <c r="F26" t="s">
        <v>424</v>
      </c>
      <c r="G26" t="s">
        <v>74</v>
      </c>
      <c r="H26" t="s">
        <v>74</v>
      </c>
      <c r="I26" t="s">
        <v>425</v>
      </c>
      <c r="J26" t="s">
        <v>426</v>
      </c>
      <c r="K26" t="s">
        <v>74</v>
      </c>
      <c r="L26" t="s">
        <v>74</v>
      </c>
      <c r="M26" t="s">
        <v>78</v>
      </c>
      <c r="N26" t="s">
        <v>79</v>
      </c>
      <c r="O26" t="s">
        <v>74</v>
      </c>
      <c r="P26" t="s">
        <v>74</v>
      </c>
      <c r="Q26" t="s">
        <v>74</v>
      </c>
      <c r="R26" t="s">
        <v>74</v>
      </c>
      <c r="S26" t="s">
        <v>74</v>
      </c>
      <c r="T26" t="s">
        <v>427</v>
      </c>
      <c r="U26" t="s">
        <v>428</v>
      </c>
      <c r="V26" t="s">
        <v>429</v>
      </c>
      <c r="W26" t="s">
        <v>430</v>
      </c>
      <c r="X26" t="s">
        <v>431</v>
      </c>
      <c r="Y26" t="s">
        <v>432</v>
      </c>
      <c r="Z26" t="s">
        <v>433</v>
      </c>
      <c r="AA26" t="s">
        <v>74</v>
      </c>
      <c r="AB26" t="s">
        <v>434</v>
      </c>
      <c r="AC26" t="s">
        <v>74</v>
      </c>
      <c r="AD26" t="s">
        <v>74</v>
      </c>
      <c r="AE26" t="s">
        <v>74</v>
      </c>
      <c r="AF26" t="s">
        <v>74</v>
      </c>
      <c r="AG26">
        <v>39</v>
      </c>
      <c r="AH26">
        <v>33</v>
      </c>
      <c r="AI26">
        <v>42</v>
      </c>
      <c r="AJ26">
        <v>4</v>
      </c>
      <c r="AK26">
        <v>42</v>
      </c>
      <c r="AL26" t="s">
        <v>387</v>
      </c>
      <c r="AM26" t="s">
        <v>388</v>
      </c>
      <c r="AN26" t="s">
        <v>389</v>
      </c>
      <c r="AO26" t="s">
        <v>435</v>
      </c>
      <c r="AP26" t="s">
        <v>436</v>
      </c>
      <c r="AQ26" t="s">
        <v>74</v>
      </c>
      <c r="AR26" t="s">
        <v>426</v>
      </c>
      <c r="AS26" t="s">
        <v>437</v>
      </c>
      <c r="AT26" t="s">
        <v>94</v>
      </c>
      <c r="AU26">
        <v>2006</v>
      </c>
      <c r="AV26">
        <v>64</v>
      </c>
      <c r="AW26">
        <v>8</v>
      </c>
      <c r="AX26" t="s">
        <v>74</v>
      </c>
      <c r="AY26" t="s">
        <v>74</v>
      </c>
      <c r="AZ26" t="s">
        <v>74</v>
      </c>
      <c r="BA26" t="s">
        <v>74</v>
      </c>
      <c r="BB26">
        <v>1429</v>
      </c>
      <c r="BC26">
        <v>1435</v>
      </c>
      <c r="BD26" t="s">
        <v>74</v>
      </c>
      <c r="BE26" t="s">
        <v>438</v>
      </c>
      <c r="BF26" t="str">
        <f>HYPERLINK("http://dx.doi.org/10.1016/j.chemosphere.2005.12.031","http://dx.doi.org/10.1016/j.chemosphere.2005.12.031")</f>
        <v>http://dx.doi.org/10.1016/j.chemosphere.2005.12.031</v>
      </c>
      <c r="BG26" t="s">
        <v>74</v>
      </c>
      <c r="BH26" t="s">
        <v>74</v>
      </c>
      <c r="BI26">
        <v>7</v>
      </c>
      <c r="BJ26" t="s">
        <v>439</v>
      </c>
      <c r="BK26" t="s">
        <v>97</v>
      </c>
      <c r="BL26" t="s">
        <v>420</v>
      </c>
      <c r="BM26" t="s">
        <v>440</v>
      </c>
      <c r="BN26">
        <v>16504242</v>
      </c>
      <c r="BO26" t="s">
        <v>74</v>
      </c>
      <c r="BP26" t="s">
        <v>74</v>
      </c>
      <c r="BQ26" t="s">
        <v>74</v>
      </c>
      <c r="BR26" t="s">
        <v>100</v>
      </c>
      <c r="BS26" t="s">
        <v>441</v>
      </c>
      <c r="BT26" t="str">
        <f>HYPERLINK("https%3A%2F%2Fwww.webofscience.com%2Fwos%2Fwoscc%2Ffull-record%2FWOS:000240581000021","View Full Record in Web of Science")</f>
        <v>View Full Record in Web of Science</v>
      </c>
    </row>
    <row r="27" spans="1:72" x14ac:dyDescent="0.15">
      <c r="A27" t="s">
        <v>72</v>
      </c>
      <c r="B27" t="s">
        <v>442</v>
      </c>
      <c r="C27" t="s">
        <v>74</v>
      </c>
      <c r="D27" t="s">
        <v>74</v>
      </c>
      <c r="E27" t="s">
        <v>74</v>
      </c>
      <c r="F27" t="s">
        <v>443</v>
      </c>
      <c r="G27" t="s">
        <v>74</v>
      </c>
      <c r="H27" t="s">
        <v>74</v>
      </c>
      <c r="I27" t="s">
        <v>444</v>
      </c>
      <c r="J27" t="s">
        <v>445</v>
      </c>
      <c r="K27" t="s">
        <v>74</v>
      </c>
      <c r="L27" t="s">
        <v>74</v>
      </c>
      <c r="M27" t="s">
        <v>78</v>
      </c>
      <c r="N27" t="s">
        <v>79</v>
      </c>
      <c r="O27" t="s">
        <v>74</v>
      </c>
      <c r="P27" t="s">
        <v>74</v>
      </c>
      <c r="Q27" t="s">
        <v>74</v>
      </c>
      <c r="R27" t="s">
        <v>74</v>
      </c>
      <c r="S27" t="s">
        <v>74</v>
      </c>
      <c r="T27" t="s">
        <v>74</v>
      </c>
      <c r="U27" t="s">
        <v>446</v>
      </c>
      <c r="V27" t="s">
        <v>447</v>
      </c>
      <c r="W27" t="s">
        <v>448</v>
      </c>
      <c r="X27" t="s">
        <v>449</v>
      </c>
      <c r="Y27" t="s">
        <v>450</v>
      </c>
      <c r="Z27" t="s">
        <v>451</v>
      </c>
      <c r="AA27" t="s">
        <v>74</v>
      </c>
      <c r="AB27" t="s">
        <v>452</v>
      </c>
      <c r="AC27" t="s">
        <v>74</v>
      </c>
      <c r="AD27" t="s">
        <v>74</v>
      </c>
      <c r="AE27" t="s">
        <v>74</v>
      </c>
      <c r="AF27" t="s">
        <v>74</v>
      </c>
      <c r="AG27">
        <v>51</v>
      </c>
      <c r="AH27">
        <v>8</v>
      </c>
      <c r="AI27">
        <v>9</v>
      </c>
      <c r="AJ27">
        <v>0</v>
      </c>
      <c r="AK27">
        <v>1</v>
      </c>
      <c r="AL27" t="s">
        <v>115</v>
      </c>
      <c r="AM27" t="s">
        <v>116</v>
      </c>
      <c r="AN27" t="s">
        <v>117</v>
      </c>
      <c r="AO27" t="s">
        <v>453</v>
      </c>
      <c r="AP27" t="s">
        <v>454</v>
      </c>
      <c r="AQ27" t="s">
        <v>74</v>
      </c>
      <c r="AR27" t="s">
        <v>455</v>
      </c>
      <c r="AS27" t="s">
        <v>456</v>
      </c>
      <c r="AT27" t="s">
        <v>94</v>
      </c>
      <c r="AU27">
        <v>2006</v>
      </c>
      <c r="AV27">
        <v>65</v>
      </c>
      <c r="AW27">
        <v>2</v>
      </c>
      <c r="AX27" t="s">
        <v>74</v>
      </c>
      <c r="AY27" t="s">
        <v>74</v>
      </c>
      <c r="AZ27" t="s">
        <v>74</v>
      </c>
      <c r="BA27" t="s">
        <v>74</v>
      </c>
      <c r="BB27">
        <v>257</v>
      </c>
      <c r="BC27">
        <v>264</v>
      </c>
      <c r="BD27" t="s">
        <v>74</v>
      </c>
      <c r="BE27" t="s">
        <v>457</v>
      </c>
      <c r="BF27" t="str">
        <f>HYPERLINK("http://dx.doi.org/10.1111/j.1365-2265.2006.02588.x","http://dx.doi.org/10.1111/j.1365-2265.2006.02588.x")</f>
        <v>http://dx.doi.org/10.1111/j.1365-2265.2006.02588.x</v>
      </c>
      <c r="BG27" t="s">
        <v>74</v>
      </c>
      <c r="BH27" t="s">
        <v>74</v>
      </c>
      <c r="BI27">
        <v>8</v>
      </c>
      <c r="BJ27" t="s">
        <v>458</v>
      </c>
      <c r="BK27" t="s">
        <v>97</v>
      </c>
      <c r="BL27" t="s">
        <v>458</v>
      </c>
      <c r="BM27" t="s">
        <v>459</v>
      </c>
      <c r="BN27">
        <v>16886970</v>
      </c>
      <c r="BO27" t="s">
        <v>460</v>
      </c>
      <c r="BP27" t="s">
        <v>74</v>
      </c>
      <c r="BQ27" t="s">
        <v>74</v>
      </c>
      <c r="BR27" t="s">
        <v>100</v>
      </c>
      <c r="BS27" t="s">
        <v>461</v>
      </c>
      <c r="BT27" t="str">
        <f>HYPERLINK("https%3A%2F%2Fwww.webofscience.com%2Fwos%2Fwoscc%2Ffull-record%2FWOS:000239107800020","View Full Record in Web of Science")</f>
        <v>View Full Record in Web of Science</v>
      </c>
    </row>
    <row r="28" spans="1:72" x14ac:dyDescent="0.15">
      <c r="A28" t="s">
        <v>72</v>
      </c>
      <c r="B28" t="s">
        <v>462</v>
      </c>
      <c r="C28" t="s">
        <v>74</v>
      </c>
      <c r="D28" t="s">
        <v>74</v>
      </c>
      <c r="E28" t="s">
        <v>74</v>
      </c>
      <c r="F28" t="s">
        <v>463</v>
      </c>
      <c r="G28" t="s">
        <v>74</v>
      </c>
      <c r="H28" t="s">
        <v>74</v>
      </c>
      <c r="I28" t="s">
        <v>464</v>
      </c>
      <c r="J28" t="s">
        <v>465</v>
      </c>
      <c r="K28" t="s">
        <v>74</v>
      </c>
      <c r="L28" t="s">
        <v>74</v>
      </c>
      <c r="M28" t="s">
        <v>78</v>
      </c>
      <c r="N28" t="s">
        <v>79</v>
      </c>
      <c r="O28" t="s">
        <v>74</v>
      </c>
      <c r="P28" t="s">
        <v>74</v>
      </c>
      <c r="Q28" t="s">
        <v>74</v>
      </c>
      <c r="R28" t="s">
        <v>74</v>
      </c>
      <c r="S28" t="s">
        <v>74</v>
      </c>
      <c r="T28" t="s">
        <v>466</v>
      </c>
      <c r="U28" t="s">
        <v>467</v>
      </c>
      <c r="V28" t="s">
        <v>468</v>
      </c>
      <c r="W28" t="s">
        <v>469</v>
      </c>
      <c r="X28" t="s">
        <v>470</v>
      </c>
      <c r="Y28" t="s">
        <v>471</v>
      </c>
      <c r="Z28" t="s">
        <v>472</v>
      </c>
      <c r="AA28" t="s">
        <v>473</v>
      </c>
      <c r="AB28" t="s">
        <v>474</v>
      </c>
      <c r="AC28" t="s">
        <v>74</v>
      </c>
      <c r="AD28" t="s">
        <v>74</v>
      </c>
      <c r="AE28" t="s">
        <v>74</v>
      </c>
      <c r="AF28" t="s">
        <v>74</v>
      </c>
      <c r="AG28">
        <v>55</v>
      </c>
      <c r="AH28">
        <v>22</v>
      </c>
      <c r="AI28">
        <v>23</v>
      </c>
      <c r="AJ28">
        <v>0</v>
      </c>
      <c r="AK28">
        <v>7</v>
      </c>
      <c r="AL28" t="s">
        <v>475</v>
      </c>
      <c r="AM28" t="s">
        <v>476</v>
      </c>
      <c r="AN28" t="s">
        <v>477</v>
      </c>
      <c r="AO28" t="s">
        <v>478</v>
      </c>
      <c r="AP28" t="s">
        <v>74</v>
      </c>
      <c r="AQ28" t="s">
        <v>74</v>
      </c>
      <c r="AR28" t="s">
        <v>479</v>
      </c>
      <c r="AS28" t="s">
        <v>480</v>
      </c>
      <c r="AT28" t="s">
        <v>94</v>
      </c>
      <c r="AU28">
        <v>2006</v>
      </c>
      <c r="AV28">
        <v>143</v>
      </c>
      <c r="AW28">
        <v>4</v>
      </c>
      <c r="AX28" t="s">
        <v>74</v>
      </c>
      <c r="AY28" t="s">
        <v>74</v>
      </c>
      <c r="AZ28" t="s">
        <v>74</v>
      </c>
      <c r="BA28" t="s">
        <v>74</v>
      </c>
      <c r="BB28">
        <v>444</v>
      </c>
      <c r="BC28">
        <v>454</v>
      </c>
      <c r="BD28" t="s">
        <v>74</v>
      </c>
      <c r="BE28" t="s">
        <v>481</v>
      </c>
      <c r="BF28" t="str">
        <f>HYPERLINK("http://dx.doi.org/10.1016/j.cbpc.2006.04.007","http://dx.doi.org/10.1016/j.cbpc.2006.04.007")</f>
        <v>http://dx.doi.org/10.1016/j.cbpc.2006.04.007</v>
      </c>
      <c r="BG28" t="s">
        <v>74</v>
      </c>
      <c r="BH28" t="s">
        <v>74</v>
      </c>
      <c r="BI28">
        <v>11</v>
      </c>
      <c r="BJ28" t="s">
        <v>482</v>
      </c>
      <c r="BK28" t="s">
        <v>97</v>
      </c>
      <c r="BL28" t="s">
        <v>482</v>
      </c>
      <c r="BM28" t="s">
        <v>483</v>
      </c>
      <c r="BN28">
        <v>16762603</v>
      </c>
      <c r="BO28" t="s">
        <v>74</v>
      </c>
      <c r="BP28" t="s">
        <v>74</v>
      </c>
      <c r="BQ28" t="s">
        <v>74</v>
      </c>
      <c r="BR28" t="s">
        <v>100</v>
      </c>
      <c r="BS28" t="s">
        <v>484</v>
      </c>
      <c r="BT28" t="str">
        <f>HYPERLINK("https%3A%2F%2Fwww.webofscience.com%2Fwos%2Fwoscc%2Ffull-record%2FWOS:000239677500011","View Full Record in Web of Science")</f>
        <v>View Full Record in Web of Science</v>
      </c>
    </row>
    <row r="29" spans="1:72" x14ac:dyDescent="0.15">
      <c r="A29" t="s">
        <v>72</v>
      </c>
      <c r="B29" t="s">
        <v>485</v>
      </c>
      <c r="C29" t="s">
        <v>74</v>
      </c>
      <c r="D29" t="s">
        <v>74</v>
      </c>
      <c r="E29" t="s">
        <v>74</v>
      </c>
      <c r="F29" t="s">
        <v>486</v>
      </c>
      <c r="G29" t="s">
        <v>74</v>
      </c>
      <c r="H29" t="s">
        <v>74</v>
      </c>
      <c r="I29" t="s">
        <v>487</v>
      </c>
      <c r="J29" t="s">
        <v>488</v>
      </c>
      <c r="K29" t="s">
        <v>74</v>
      </c>
      <c r="L29" t="s">
        <v>74</v>
      </c>
      <c r="M29" t="s">
        <v>78</v>
      </c>
      <c r="N29" t="s">
        <v>79</v>
      </c>
      <c r="O29" t="s">
        <v>74</v>
      </c>
      <c r="P29" t="s">
        <v>74</v>
      </c>
      <c r="Q29" t="s">
        <v>74</v>
      </c>
      <c r="R29" t="s">
        <v>74</v>
      </c>
      <c r="S29" t="s">
        <v>74</v>
      </c>
      <c r="T29" t="s">
        <v>489</v>
      </c>
      <c r="U29" t="s">
        <v>490</v>
      </c>
      <c r="V29" t="s">
        <v>491</v>
      </c>
      <c r="W29" t="s">
        <v>492</v>
      </c>
      <c r="X29" t="s">
        <v>493</v>
      </c>
      <c r="Y29" t="s">
        <v>494</v>
      </c>
      <c r="Z29" t="s">
        <v>495</v>
      </c>
      <c r="AA29" t="s">
        <v>74</v>
      </c>
      <c r="AB29" t="s">
        <v>496</v>
      </c>
      <c r="AC29" t="s">
        <v>74</v>
      </c>
      <c r="AD29" t="s">
        <v>74</v>
      </c>
      <c r="AE29" t="s">
        <v>74</v>
      </c>
      <c r="AF29" t="s">
        <v>74</v>
      </c>
      <c r="AG29">
        <v>35</v>
      </c>
      <c r="AH29">
        <v>0</v>
      </c>
      <c r="AI29">
        <v>1</v>
      </c>
      <c r="AJ29">
        <v>0</v>
      </c>
      <c r="AK29">
        <v>0</v>
      </c>
      <c r="AL29" t="s">
        <v>497</v>
      </c>
      <c r="AM29" t="s">
        <v>498</v>
      </c>
      <c r="AN29" t="s">
        <v>499</v>
      </c>
      <c r="AO29" t="s">
        <v>500</v>
      </c>
      <c r="AP29" t="s">
        <v>501</v>
      </c>
      <c r="AQ29" t="s">
        <v>74</v>
      </c>
      <c r="AR29" t="s">
        <v>502</v>
      </c>
      <c r="AS29" t="s">
        <v>503</v>
      </c>
      <c r="AT29" t="s">
        <v>94</v>
      </c>
      <c r="AU29">
        <v>2006</v>
      </c>
      <c r="AV29">
        <v>27</v>
      </c>
      <c r="AW29">
        <v>3</v>
      </c>
      <c r="AX29" t="s">
        <v>74</v>
      </c>
      <c r="AY29" t="s">
        <v>74</v>
      </c>
      <c r="AZ29" t="s">
        <v>74</v>
      </c>
      <c r="BA29" t="s">
        <v>74</v>
      </c>
      <c r="BB29">
        <v>279</v>
      </c>
      <c r="BC29">
        <v>288</v>
      </c>
      <c r="BD29" t="s">
        <v>74</v>
      </c>
      <c r="BE29" t="s">
        <v>74</v>
      </c>
      <c r="BF29" t="s">
        <v>74</v>
      </c>
      <c r="BG29" t="s">
        <v>74</v>
      </c>
      <c r="BH29" t="s">
        <v>74</v>
      </c>
      <c r="BI29">
        <v>10</v>
      </c>
      <c r="BJ29" t="s">
        <v>504</v>
      </c>
      <c r="BK29" t="s">
        <v>97</v>
      </c>
      <c r="BL29" t="s">
        <v>504</v>
      </c>
      <c r="BM29" t="s">
        <v>505</v>
      </c>
      <c r="BN29" t="s">
        <v>74</v>
      </c>
      <c r="BO29" t="s">
        <v>74</v>
      </c>
      <c r="BP29" t="s">
        <v>74</v>
      </c>
      <c r="BQ29" t="s">
        <v>74</v>
      </c>
      <c r="BR29" t="s">
        <v>100</v>
      </c>
      <c r="BS29" t="s">
        <v>506</v>
      </c>
      <c r="BT29" t="str">
        <f>HYPERLINK("https%3A%2F%2Fwww.webofscience.com%2Fwos%2Fwoscc%2Ffull-record%2FWOS:000240764200006","View Full Record in Web of Science")</f>
        <v>View Full Record in Web of Science</v>
      </c>
    </row>
    <row r="30" spans="1:72" x14ac:dyDescent="0.15">
      <c r="A30" t="s">
        <v>72</v>
      </c>
      <c r="B30" t="s">
        <v>507</v>
      </c>
      <c r="C30" t="s">
        <v>74</v>
      </c>
      <c r="D30" t="s">
        <v>74</v>
      </c>
      <c r="E30" t="s">
        <v>74</v>
      </c>
      <c r="F30" t="s">
        <v>508</v>
      </c>
      <c r="G30" t="s">
        <v>74</v>
      </c>
      <c r="H30" t="s">
        <v>74</v>
      </c>
      <c r="I30" t="s">
        <v>509</v>
      </c>
      <c r="J30" t="s">
        <v>510</v>
      </c>
      <c r="K30" t="s">
        <v>74</v>
      </c>
      <c r="L30" t="s">
        <v>74</v>
      </c>
      <c r="M30" t="s">
        <v>78</v>
      </c>
      <c r="N30" t="s">
        <v>511</v>
      </c>
      <c r="O30" t="s">
        <v>74</v>
      </c>
      <c r="P30" t="s">
        <v>74</v>
      </c>
      <c r="Q30" t="s">
        <v>74</v>
      </c>
      <c r="R30" t="s">
        <v>74</v>
      </c>
      <c r="S30" t="s">
        <v>74</v>
      </c>
      <c r="T30" t="s">
        <v>512</v>
      </c>
      <c r="U30" t="s">
        <v>513</v>
      </c>
      <c r="V30" t="s">
        <v>514</v>
      </c>
      <c r="W30" t="s">
        <v>515</v>
      </c>
      <c r="X30" t="s">
        <v>516</v>
      </c>
      <c r="Y30" t="s">
        <v>517</v>
      </c>
      <c r="Z30" t="s">
        <v>518</v>
      </c>
      <c r="AA30" t="s">
        <v>74</v>
      </c>
      <c r="AB30" t="s">
        <v>74</v>
      </c>
      <c r="AC30" t="s">
        <v>74</v>
      </c>
      <c r="AD30" t="s">
        <v>74</v>
      </c>
      <c r="AE30" t="s">
        <v>74</v>
      </c>
      <c r="AF30" t="s">
        <v>74</v>
      </c>
      <c r="AG30">
        <v>173</v>
      </c>
      <c r="AH30">
        <v>124</v>
      </c>
      <c r="AI30">
        <v>143</v>
      </c>
      <c r="AJ30">
        <v>3</v>
      </c>
      <c r="AK30">
        <v>65</v>
      </c>
      <c r="AL30" t="s">
        <v>519</v>
      </c>
      <c r="AM30" t="s">
        <v>520</v>
      </c>
      <c r="AN30" t="s">
        <v>521</v>
      </c>
      <c r="AO30" t="s">
        <v>522</v>
      </c>
      <c r="AP30" t="s">
        <v>523</v>
      </c>
      <c r="AQ30" t="s">
        <v>74</v>
      </c>
      <c r="AR30" t="s">
        <v>524</v>
      </c>
      <c r="AS30" t="s">
        <v>525</v>
      </c>
      <c r="AT30" t="s">
        <v>94</v>
      </c>
      <c r="AU30">
        <v>2006</v>
      </c>
      <c r="AV30">
        <v>77</v>
      </c>
      <c r="AW30">
        <v>4</v>
      </c>
      <c r="AX30" t="s">
        <v>74</v>
      </c>
      <c r="AY30" t="s">
        <v>74</v>
      </c>
      <c r="AZ30" t="s">
        <v>74</v>
      </c>
      <c r="BA30" t="s">
        <v>74</v>
      </c>
      <c r="BB30">
        <v>231</v>
      </c>
      <c r="BC30">
        <v>271</v>
      </c>
      <c r="BD30" t="s">
        <v>74</v>
      </c>
      <c r="BE30" t="s">
        <v>526</v>
      </c>
      <c r="BF30" t="str">
        <f>HYPERLINK("http://dx.doi.org/10.1016/j.earscirev.2006.03.007","http://dx.doi.org/10.1016/j.earscirev.2006.03.007")</f>
        <v>http://dx.doi.org/10.1016/j.earscirev.2006.03.007</v>
      </c>
      <c r="BG30" t="s">
        <v>74</v>
      </c>
      <c r="BH30" t="s">
        <v>74</v>
      </c>
      <c r="BI30">
        <v>41</v>
      </c>
      <c r="BJ30" t="s">
        <v>527</v>
      </c>
      <c r="BK30" t="s">
        <v>97</v>
      </c>
      <c r="BL30" t="s">
        <v>528</v>
      </c>
      <c r="BM30" t="s">
        <v>529</v>
      </c>
      <c r="BN30" t="s">
        <v>74</v>
      </c>
      <c r="BO30" t="s">
        <v>74</v>
      </c>
      <c r="BP30" t="s">
        <v>74</v>
      </c>
      <c r="BQ30" t="s">
        <v>74</v>
      </c>
      <c r="BR30" t="s">
        <v>100</v>
      </c>
      <c r="BS30" t="s">
        <v>530</v>
      </c>
      <c r="BT30" t="str">
        <f>HYPERLINK("https%3A%2F%2Fwww.webofscience.com%2Fwos%2Fwoscc%2Ffull-record%2FWOS:000239951500001","View Full Record in Web of Science")</f>
        <v>View Full Record in Web of Science</v>
      </c>
    </row>
    <row r="31" spans="1:72" x14ac:dyDescent="0.15">
      <c r="A31" t="s">
        <v>72</v>
      </c>
      <c r="B31" t="s">
        <v>531</v>
      </c>
      <c r="C31" t="s">
        <v>74</v>
      </c>
      <c r="D31" t="s">
        <v>74</v>
      </c>
      <c r="E31" t="s">
        <v>74</v>
      </c>
      <c r="F31" t="s">
        <v>532</v>
      </c>
      <c r="G31" t="s">
        <v>74</v>
      </c>
      <c r="H31" t="s">
        <v>74</v>
      </c>
      <c r="I31" t="s">
        <v>533</v>
      </c>
      <c r="J31" t="s">
        <v>534</v>
      </c>
      <c r="K31" t="s">
        <v>74</v>
      </c>
      <c r="L31" t="s">
        <v>74</v>
      </c>
      <c r="M31" t="s">
        <v>78</v>
      </c>
      <c r="N31" t="s">
        <v>79</v>
      </c>
      <c r="O31" t="s">
        <v>74</v>
      </c>
      <c r="P31" t="s">
        <v>74</v>
      </c>
      <c r="Q31" t="s">
        <v>74</v>
      </c>
      <c r="R31" t="s">
        <v>74</v>
      </c>
      <c r="S31" t="s">
        <v>74</v>
      </c>
      <c r="T31" t="s">
        <v>535</v>
      </c>
      <c r="U31" t="s">
        <v>536</v>
      </c>
      <c r="V31" t="s">
        <v>537</v>
      </c>
      <c r="W31" t="s">
        <v>538</v>
      </c>
      <c r="X31" t="s">
        <v>539</v>
      </c>
      <c r="Y31" t="s">
        <v>540</v>
      </c>
      <c r="Z31" t="s">
        <v>541</v>
      </c>
      <c r="AA31" t="s">
        <v>74</v>
      </c>
      <c r="AB31" t="s">
        <v>74</v>
      </c>
      <c r="AC31" t="s">
        <v>74</v>
      </c>
      <c r="AD31" t="s">
        <v>74</v>
      </c>
      <c r="AE31" t="s">
        <v>74</v>
      </c>
      <c r="AF31" t="s">
        <v>74</v>
      </c>
      <c r="AG31">
        <v>57</v>
      </c>
      <c r="AH31">
        <v>125</v>
      </c>
      <c r="AI31">
        <v>155</v>
      </c>
      <c r="AJ31">
        <v>1</v>
      </c>
      <c r="AK31">
        <v>118</v>
      </c>
      <c r="AL31" t="s">
        <v>542</v>
      </c>
      <c r="AM31" t="s">
        <v>88</v>
      </c>
      <c r="AN31" t="s">
        <v>543</v>
      </c>
      <c r="AO31" t="s">
        <v>544</v>
      </c>
      <c r="AP31" t="s">
        <v>74</v>
      </c>
      <c r="AQ31" t="s">
        <v>74</v>
      </c>
      <c r="AR31" t="s">
        <v>534</v>
      </c>
      <c r="AS31" t="s">
        <v>419</v>
      </c>
      <c r="AT31" t="s">
        <v>94</v>
      </c>
      <c r="AU31">
        <v>2006</v>
      </c>
      <c r="AV31">
        <v>87</v>
      </c>
      <c r="AW31">
        <v>8</v>
      </c>
      <c r="AX31" t="s">
        <v>74</v>
      </c>
      <c r="AY31" t="s">
        <v>74</v>
      </c>
      <c r="AZ31" t="s">
        <v>74</v>
      </c>
      <c r="BA31" t="s">
        <v>74</v>
      </c>
      <c r="BB31">
        <v>2080</v>
      </c>
      <c r="BC31">
        <v>2093</v>
      </c>
      <c r="BD31" t="s">
        <v>74</v>
      </c>
      <c r="BE31" t="s">
        <v>545</v>
      </c>
      <c r="BF31" t="str">
        <f>HYPERLINK("http://dx.doi.org/10.1890/0012-9658(2006)87[2080:CAPACR]2.0.CO;2","http://dx.doi.org/10.1890/0012-9658(2006)87[2080:CAPACR]2.0.CO;2")</f>
        <v>http://dx.doi.org/10.1890/0012-9658(2006)87[2080:CAPACR]2.0.CO;2</v>
      </c>
      <c r="BG31" t="s">
        <v>74</v>
      </c>
      <c r="BH31" t="s">
        <v>74</v>
      </c>
      <c r="BI31">
        <v>14</v>
      </c>
      <c r="BJ31" t="s">
        <v>419</v>
      </c>
      <c r="BK31" t="s">
        <v>97</v>
      </c>
      <c r="BL31" t="s">
        <v>420</v>
      </c>
      <c r="BM31" t="s">
        <v>546</v>
      </c>
      <c r="BN31">
        <v>16937647</v>
      </c>
      <c r="BO31" t="s">
        <v>74</v>
      </c>
      <c r="BP31" t="s">
        <v>74</v>
      </c>
      <c r="BQ31" t="s">
        <v>74</v>
      </c>
      <c r="BR31" t="s">
        <v>100</v>
      </c>
      <c r="BS31" t="s">
        <v>547</v>
      </c>
      <c r="BT31" t="str">
        <f>HYPERLINK("https%3A%2F%2Fwww.webofscience.com%2Fwos%2Fwoscc%2Ffull-record%2FWOS:000239833400025","View Full Record in Web of Science")</f>
        <v>View Full Record in Web of Science</v>
      </c>
    </row>
    <row r="32" spans="1:72" x14ac:dyDescent="0.15">
      <c r="A32" t="s">
        <v>72</v>
      </c>
      <c r="B32" t="s">
        <v>548</v>
      </c>
      <c r="C32" t="s">
        <v>74</v>
      </c>
      <c r="D32" t="s">
        <v>74</v>
      </c>
      <c r="E32" t="s">
        <v>74</v>
      </c>
      <c r="F32" t="s">
        <v>549</v>
      </c>
      <c r="G32" t="s">
        <v>74</v>
      </c>
      <c r="H32" t="s">
        <v>74</v>
      </c>
      <c r="I32" t="s">
        <v>550</v>
      </c>
      <c r="J32" t="s">
        <v>551</v>
      </c>
      <c r="K32" t="s">
        <v>74</v>
      </c>
      <c r="L32" t="s">
        <v>74</v>
      </c>
      <c r="M32" t="s">
        <v>78</v>
      </c>
      <c r="N32" t="s">
        <v>552</v>
      </c>
      <c r="O32" t="s">
        <v>74</v>
      </c>
      <c r="P32" t="s">
        <v>74</v>
      </c>
      <c r="Q32" t="s">
        <v>74</v>
      </c>
      <c r="R32" t="s">
        <v>74</v>
      </c>
      <c r="S32" t="s">
        <v>74</v>
      </c>
      <c r="T32" t="s">
        <v>74</v>
      </c>
      <c r="U32" t="s">
        <v>553</v>
      </c>
      <c r="V32" t="s">
        <v>74</v>
      </c>
      <c r="W32" t="s">
        <v>74</v>
      </c>
      <c r="X32" t="s">
        <v>74</v>
      </c>
      <c r="Y32" t="s">
        <v>74</v>
      </c>
      <c r="Z32" t="s">
        <v>74</v>
      </c>
      <c r="AA32" t="s">
        <v>554</v>
      </c>
      <c r="AB32" t="s">
        <v>555</v>
      </c>
      <c r="AC32" t="s">
        <v>74</v>
      </c>
      <c r="AD32" t="s">
        <v>74</v>
      </c>
      <c r="AE32" t="s">
        <v>74</v>
      </c>
      <c r="AF32" t="s">
        <v>74</v>
      </c>
      <c r="AG32">
        <v>11</v>
      </c>
      <c r="AH32">
        <v>1</v>
      </c>
      <c r="AI32">
        <v>1</v>
      </c>
      <c r="AJ32">
        <v>0</v>
      </c>
      <c r="AK32">
        <v>1</v>
      </c>
      <c r="AL32" t="s">
        <v>556</v>
      </c>
      <c r="AM32" t="s">
        <v>557</v>
      </c>
      <c r="AN32" t="s">
        <v>558</v>
      </c>
      <c r="AO32" t="s">
        <v>559</v>
      </c>
      <c r="AP32" t="s">
        <v>74</v>
      </c>
      <c r="AQ32" t="s">
        <v>74</v>
      </c>
      <c r="AR32" t="s">
        <v>560</v>
      </c>
      <c r="AS32" t="s">
        <v>561</v>
      </c>
      <c r="AT32" t="s">
        <v>94</v>
      </c>
      <c r="AU32">
        <v>2006</v>
      </c>
      <c r="AV32">
        <v>7</v>
      </c>
      <c r="AW32">
        <v>8</v>
      </c>
      <c r="AX32" t="s">
        <v>74</v>
      </c>
      <c r="AY32" t="s">
        <v>74</v>
      </c>
      <c r="AZ32" t="s">
        <v>74</v>
      </c>
      <c r="BA32" t="s">
        <v>74</v>
      </c>
      <c r="BB32">
        <v>759</v>
      </c>
      <c r="BC32">
        <v>763</v>
      </c>
      <c r="BD32" t="s">
        <v>74</v>
      </c>
      <c r="BE32" t="s">
        <v>562</v>
      </c>
      <c r="BF32" t="str">
        <f>HYPERLINK("http://dx.doi.org/10.1038/sj.embor.7400764","http://dx.doi.org/10.1038/sj.embor.7400764")</f>
        <v>http://dx.doi.org/10.1038/sj.embor.7400764</v>
      </c>
      <c r="BG32" t="s">
        <v>74</v>
      </c>
      <c r="BH32" t="s">
        <v>74</v>
      </c>
      <c r="BI32">
        <v>5</v>
      </c>
      <c r="BJ32" t="s">
        <v>563</v>
      </c>
      <c r="BK32" t="s">
        <v>97</v>
      </c>
      <c r="BL32" t="s">
        <v>563</v>
      </c>
      <c r="BM32" t="s">
        <v>564</v>
      </c>
      <c r="BN32">
        <v>16880819</v>
      </c>
      <c r="BO32" t="s">
        <v>99</v>
      </c>
      <c r="BP32" t="s">
        <v>74</v>
      </c>
      <c r="BQ32" t="s">
        <v>74</v>
      </c>
      <c r="BR32" t="s">
        <v>100</v>
      </c>
      <c r="BS32" t="s">
        <v>565</v>
      </c>
      <c r="BT32" t="str">
        <f>HYPERLINK("https%3A%2F%2Fwww.webofscience.com%2Fwos%2Fwoscc%2Ffull-record%2FWOS:000241593200005","View Full Record in Web of Science")</f>
        <v>View Full Record in Web of Science</v>
      </c>
    </row>
    <row r="33" spans="1:72" x14ac:dyDescent="0.15">
      <c r="A33" t="s">
        <v>72</v>
      </c>
      <c r="B33" t="s">
        <v>566</v>
      </c>
      <c r="C33" t="s">
        <v>74</v>
      </c>
      <c r="D33" t="s">
        <v>74</v>
      </c>
      <c r="E33" t="s">
        <v>74</v>
      </c>
      <c r="F33" t="s">
        <v>567</v>
      </c>
      <c r="G33" t="s">
        <v>74</v>
      </c>
      <c r="H33" t="s">
        <v>74</v>
      </c>
      <c r="I33" t="s">
        <v>568</v>
      </c>
      <c r="J33" t="s">
        <v>569</v>
      </c>
      <c r="K33" t="s">
        <v>74</v>
      </c>
      <c r="L33" t="s">
        <v>74</v>
      </c>
      <c r="M33" t="s">
        <v>78</v>
      </c>
      <c r="N33" t="s">
        <v>79</v>
      </c>
      <c r="O33" t="s">
        <v>74</v>
      </c>
      <c r="P33" t="s">
        <v>74</v>
      </c>
      <c r="Q33" t="s">
        <v>74</v>
      </c>
      <c r="R33" t="s">
        <v>74</v>
      </c>
      <c r="S33" t="s">
        <v>74</v>
      </c>
      <c r="T33" t="s">
        <v>570</v>
      </c>
      <c r="U33" t="s">
        <v>571</v>
      </c>
      <c r="V33" t="s">
        <v>572</v>
      </c>
      <c r="W33" t="s">
        <v>573</v>
      </c>
      <c r="X33" t="s">
        <v>574</v>
      </c>
      <c r="Y33" t="s">
        <v>575</v>
      </c>
      <c r="Z33" t="s">
        <v>576</v>
      </c>
      <c r="AA33" t="s">
        <v>577</v>
      </c>
      <c r="AB33" t="s">
        <v>578</v>
      </c>
      <c r="AC33" t="s">
        <v>579</v>
      </c>
      <c r="AD33" t="s">
        <v>413</v>
      </c>
      <c r="AE33" t="s">
        <v>74</v>
      </c>
      <c r="AF33" t="s">
        <v>74</v>
      </c>
      <c r="AG33">
        <v>67</v>
      </c>
      <c r="AH33">
        <v>148</v>
      </c>
      <c r="AI33">
        <v>166</v>
      </c>
      <c r="AJ33">
        <v>0</v>
      </c>
      <c r="AK33">
        <v>40</v>
      </c>
      <c r="AL33" t="s">
        <v>580</v>
      </c>
      <c r="AM33" t="s">
        <v>388</v>
      </c>
      <c r="AN33" t="s">
        <v>581</v>
      </c>
      <c r="AO33" t="s">
        <v>582</v>
      </c>
      <c r="AP33" t="s">
        <v>583</v>
      </c>
      <c r="AQ33" t="s">
        <v>74</v>
      </c>
      <c r="AR33" t="s">
        <v>584</v>
      </c>
      <c r="AS33" t="s">
        <v>585</v>
      </c>
      <c r="AT33" t="s">
        <v>94</v>
      </c>
      <c r="AU33">
        <v>2006</v>
      </c>
      <c r="AV33">
        <v>57</v>
      </c>
      <c r="AW33">
        <v>2</v>
      </c>
      <c r="AX33" t="s">
        <v>74</v>
      </c>
      <c r="AY33" t="s">
        <v>74</v>
      </c>
      <c r="AZ33" t="s">
        <v>74</v>
      </c>
      <c r="BA33" t="s">
        <v>74</v>
      </c>
      <c r="BB33">
        <v>272</v>
      </c>
      <c r="BC33">
        <v>289</v>
      </c>
      <c r="BD33" t="s">
        <v>74</v>
      </c>
      <c r="BE33" t="s">
        <v>586</v>
      </c>
      <c r="BF33" t="str">
        <f>HYPERLINK("http://dx.doi.org/10.1111/j.1574-6941.2006.00110.x","http://dx.doi.org/10.1111/j.1574-6941.2006.00110.x")</f>
        <v>http://dx.doi.org/10.1111/j.1574-6941.2006.00110.x</v>
      </c>
      <c r="BG33" t="s">
        <v>74</v>
      </c>
      <c r="BH33" t="s">
        <v>74</v>
      </c>
      <c r="BI33">
        <v>18</v>
      </c>
      <c r="BJ33" t="s">
        <v>587</v>
      </c>
      <c r="BK33" t="s">
        <v>97</v>
      </c>
      <c r="BL33" t="s">
        <v>587</v>
      </c>
      <c r="BM33" t="s">
        <v>588</v>
      </c>
      <c r="BN33">
        <v>16867145</v>
      </c>
      <c r="BO33" t="s">
        <v>74</v>
      </c>
      <c r="BP33" t="s">
        <v>74</v>
      </c>
      <c r="BQ33" t="s">
        <v>74</v>
      </c>
      <c r="BR33" t="s">
        <v>100</v>
      </c>
      <c r="BS33" t="s">
        <v>589</v>
      </c>
      <c r="BT33" t="str">
        <f>HYPERLINK("https%3A%2F%2Fwww.webofscience.com%2Fwos%2Fwoscc%2Ffull-record%2FWOS:000238886400010","View Full Record in Web of Science")</f>
        <v>View Full Record in Web of Science</v>
      </c>
    </row>
    <row r="34" spans="1:72" x14ac:dyDescent="0.15">
      <c r="A34" t="s">
        <v>72</v>
      </c>
      <c r="B34" t="s">
        <v>590</v>
      </c>
      <c r="C34" t="s">
        <v>74</v>
      </c>
      <c r="D34" t="s">
        <v>74</v>
      </c>
      <c r="E34" t="s">
        <v>74</v>
      </c>
      <c r="F34" t="s">
        <v>591</v>
      </c>
      <c r="G34" t="s">
        <v>74</v>
      </c>
      <c r="H34" t="s">
        <v>74</v>
      </c>
      <c r="I34" t="s">
        <v>592</v>
      </c>
      <c r="J34" t="s">
        <v>593</v>
      </c>
      <c r="K34" t="s">
        <v>74</v>
      </c>
      <c r="L34" t="s">
        <v>74</v>
      </c>
      <c r="M34" t="s">
        <v>78</v>
      </c>
      <c r="N34" t="s">
        <v>79</v>
      </c>
      <c r="O34" t="s">
        <v>74</v>
      </c>
      <c r="P34" t="s">
        <v>74</v>
      </c>
      <c r="Q34" t="s">
        <v>74</v>
      </c>
      <c r="R34" t="s">
        <v>74</v>
      </c>
      <c r="S34" t="s">
        <v>74</v>
      </c>
      <c r="T34" t="s">
        <v>74</v>
      </c>
      <c r="U34" t="s">
        <v>594</v>
      </c>
      <c r="V34" t="s">
        <v>595</v>
      </c>
      <c r="W34" t="s">
        <v>596</v>
      </c>
      <c r="X34" t="s">
        <v>597</v>
      </c>
      <c r="Y34" t="s">
        <v>598</v>
      </c>
      <c r="Z34" t="s">
        <v>599</v>
      </c>
      <c r="AA34" t="s">
        <v>600</v>
      </c>
      <c r="AB34" t="s">
        <v>74</v>
      </c>
      <c r="AC34" t="s">
        <v>74</v>
      </c>
      <c r="AD34" t="s">
        <v>74</v>
      </c>
      <c r="AE34" t="s">
        <v>74</v>
      </c>
      <c r="AF34" t="s">
        <v>74</v>
      </c>
      <c r="AG34">
        <v>16</v>
      </c>
      <c r="AH34">
        <v>14</v>
      </c>
      <c r="AI34">
        <v>19</v>
      </c>
      <c r="AJ34">
        <v>0</v>
      </c>
      <c r="AK34">
        <v>5</v>
      </c>
      <c r="AL34" t="s">
        <v>601</v>
      </c>
      <c r="AM34" t="s">
        <v>476</v>
      </c>
      <c r="AN34" t="s">
        <v>602</v>
      </c>
      <c r="AO34" t="s">
        <v>603</v>
      </c>
      <c r="AP34" t="s">
        <v>604</v>
      </c>
      <c r="AQ34" t="s">
        <v>74</v>
      </c>
      <c r="AR34" t="s">
        <v>605</v>
      </c>
      <c r="AS34" t="s">
        <v>606</v>
      </c>
      <c r="AT34" t="s">
        <v>94</v>
      </c>
      <c r="AU34">
        <v>2006</v>
      </c>
      <c r="AV34">
        <v>44</v>
      </c>
      <c r="AW34">
        <v>8</v>
      </c>
      <c r="AX34" t="s">
        <v>74</v>
      </c>
      <c r="AY34" t="s">
        <v>74</v>
      </c>
      <c r="AZ34" t="s">
        <v>74</v>
      </c>
      <c r="BA34" t="s">
        <v>74</v>
      </c>
      <c r="BB34">
        <v>825</v>
      </c>
      <c r="BC34">
        <v>834</v>
      </c>
      <c r="BD34" t="s">
        <v>74</v>
      </c>
      <c r="BE34" t="s">
        <v>607</v>
      </c>
      <c r="BF34" t="str">
        <f>HYPERLINK("http://dx.doi.org/10.1134/S0016702906080076","http://dx.doi.org/10.1134/S0016702906080076")</f>
        <v>http://dx.doi.org/10.1134/S0016702906080076</v>
      </c>
      <c r="BG34" t="s">
        <v>74</v>
      </c>
      <c r="BH34" t="s">
        <v>74</v>
      </c>
      <c r="BI34">
        <v>10</v>
      </c>
      <c r="BJ34" t="s">
        <v>608</v>
      </c>
      <c r="BK34" t="s">
        <v>97</v>
      </c>
      <c r="BL34" t="s">
        <v>608</v>
      </c>
      <c r="BM34" t="s">
        <v>609</v>
      </c>
      <c r="BN34" t="s">
        <v>74</v>
      </c>
      <c r="BO34" t="s">
        <v>74</v>
      </c>
      <c r="BP34" t="s">
        <v>74</v>
      </c>
      <c r="BQ34" t="s">
        <v>74</v>
      </c>
      <c r="BR34" t="s">
        <v>100</v>
      </c>
      <c r="BS34" t="s">
        <v>610</v>
      </c>
      <c r="BT34" t="str">
        <f>HYPERLINK("https%3A%2F%2Fwww.webofscience.com%2Fwos%2Fwoscc%2Ffull-record%2FWOS:000245561600007","View Full Record in Web of Science")</f>
        <v>View Full Record in Web of Science</v>
      </c>
    </row>
    <row r="35" spans="1:72" x14ac:dyDescent="0.15">
      <c r="A35" t="s">
        <v>72</v>
      </c>
      <c r="B35" t="s">
        <v>611</v>
      </c>
      <c r="C35" t="s">
        <v>74</v>
      </c>
      <c r="D35" t="s">
        <v>74</v>
      </c>
      <c r="E35" t="s">
        <v>74</v>
      </c>
      <c r="F35" t="s">
        <v>612</v>
      </c>
      <c r="G35" t="s">
        <v>74</v>
      </c>
      <c r="H35" t="s">
        <v>74</v>
      </c>
      <c r="I35" t="s">
        <v>613</v>
      </c>
      <c r="J35" t="s">
        <v>614</v>
      </c>
      <c r="K35" t="s">
        <v>74</v>
      </c>
      <c r="L35" t="s">
        <v>74</v>
      </c>
      <c r="M35" t="s">
        <v>78</v>
      </c>
      <c r="N35" t="s">
        <v>79</v>
      </c>
      <c r="O35" t="s">
        <v>74</v>
      </c>
      <c r="P35" t="s">
        <v>74</v>
      </c>
      <c r="Q35" t="s">
        <v>74</v>
      </c>
      <c r="R35" t="s">
        <v>74</v>
      </c>
      <c r="S35" t="s">
        <v>74</v>
      </c>
      <c r="T35" t="s">
        <v>74</v>
      </c>
      <c r="U35" t="s">
        <v>615</v>
      </c>
      <c r="V35" t="s">
        <v>616</v>
      </c>
      <c r="W35" t="s">
        <v>617</v>
      </c>
      <c r="X35" t="s">
        <v>618</v>
      </c>
      <c r="Y35" t="s">
        <v>619</v>
      </c>
      <c r="Z35" t="s">
        <v>620</v>
      </c>
      <c r="AA35" t="s">
        <v>621</v>
      </c>
      <c r="AB35" t="s">
        <v>74</v>
      </c>
      <c r="AC35" t="s">
        <v>74</v>
      </c>
      <c r="AD35" t="s">
        <v>74</v>
      </c>
      <c r="AE35" t="s">
        <v>74</v>
      </c>
      <c r="AF35" t="s">
        <v>74</v>
      </c>
      <c r="AG35">
        <v>52</v>
      </c>
      <c r="AH35">
        <v>17</v>
      </c>
      <c r="AI35">
        <v>19</v>
      </c>
      <c r="AJ35">
        <v>0</v>
      </c>
      <c r="AK35">
        <v>5</v>
      </c>
      <c r="AL35" t="s">
        <v>387</v>
      </c>
      <c r="AM35" t="s">
        <v>388</v>
      </c>
      <c r="AN35" t="s">
        <v>389</v>
      </c>
      <c r="AO35" t="s">
        <v>622</v>
      </c>
      <c r="AP35" t="s">
        <v>623</v>
      </c>
      <c r="AQ35" t="s">
        <v>74</v>
      </c>
      <c r="AR35" t="s">
        <v>624</v>
      </c>
      <c r="AS35" t="s">
        <v>625</v>
      </c>
      <c r="AT35" t="s">
        <v>626</v>
      </c>
      <c r="AU35">
        <v>2006</v>
      </c>
      <c r="AV35">
        <v>70</v>
      </c>
      <c r="AW35">
        <v>15</v>
      </c>
      <c r="AX35" t="s">
        <v>74</v>
      </c>
      <c r="AY35" t="s">
        <v>74</v>
      </c>
      <c r="AZ35" t="s">
        <v>74</v>
      </c>
      <c r="BA35" t="s">
        <v>74</v>
      </c>
      <c r="BB35">
        <v>4007</v>
      </c>
      <c r="BC35">
        <v>4018</v>
      </c>
      <c r="BD35" t="s">
        <v>74</v>
      </c>
      <c r="BE35" t="s">
        <v>627</v>
      </c>
      <c r="BF35" t="str">
        <f>HYPERLINK("http://dx.doi.org/10.1016/j.gca.2006.05.010","http://dx.doi.org/10.1016/j.gca.2006.05.010")</f>
        <v>http://dx.doi.org/10.1016/j.gca.2006.05.010</v>
      </c>
      <c r="BG35" t="s">
        <v>74</v>
      </c>
      <c r="BH35" t="s">
        <v>74</v>
      </c>
      <c r="BI35">
        <v>12</v>
      </c>
      <c r="BJ35" t="s">
        <v>608</v>
      </c>
      <c r="BK35" t="s">
        <v>97</v>
      </c>
      <c r="BL35" t="s">
        <v>608</v>
      </c>
      <c r="BM35" t="s">
        <v>628</v>
      </c>
      <c r="BN35" t="s">
        <v>74</v>
      </c>
      <c r="BO35" t="s">
        <v>74</v>
      </c>
      <c r="BP35" t="s">
        <v>74</v>
      </c>
      <c r="BQ35" t="s">
        <v>74</v>
      </c>
      <c r="BR35" t="s">
        <v>100</v>
      </c>
      <c r="BS35" t="s">
        <v>629</v>
      </c>
      <c r="BT35" t="str">
        <f>HYPERLINK("https%3A%2F%2Fwww.webofscience.com%2Fwos%2Fwoscc%2Ffull-record%2FWOS:000239765800017","View Full Record in Web of Science")</f>
        <v>View Full Record in Web of Science</v>
      </c>
    </row>
    <row r="36" spans="1:72" x14ac:dyDescent="0.15">
      <c r="A36" t="s">
        <v>72</v>
      </c>
      <c r="B36" t="s">
        <v>630</v>
      </c>
      <c r="C36" t="s">
        <v>74</v>
      </c>
      <c r="D36" t="s">
        <v>74</v>
      </c>
      <c r="E36" t="s">
        <v>74</v>
      </c>
      <c r="F36" t="s">
        <v>631</v>
      </c>
      <c r="G36" t="s">
        <v>74</v>
      </c>
      <c r="H36" t="s">
        <v>74</v>
      </c>
      <c r="I36" t="s">
        <v>632</v>
      </c>
      <c r="J36" t="s">
        <v>614</v>
      </c>
      <c r="K36" t="s">
        <v>74</v>
      </c>
      <c r="L36" t="s">
        <v>74</v>
      </c>
      <c r="M36" t="s">
        <v>78</v>
      </c>
      <c r="N36" t="s">
        <v>79</v>
      </c>
      <c r="O36" t="s">
        <v>74</v>
      </c>
      <c r="P36" t="s">
        <v>74</v>
      </c>
      <c r="Q36" t="s">
        <v>74</v>
      </c>
      <c r="R36" t="s">
        <v>74</v>
      </c>
      <c r="S36" t="s">
        <v>74</v>
      </c>
      <c r="T36" t="s">
        <v>74</v>
      </c>
      <c r="U36" t="s">
        <v>633</v>
      </c>
      <c r="V36" t="s">
        <v>634</v>
      </c>
      <c r="W36" t="s">
        <v>635</v>
      </c>
      <c r="X36" t="s">
        <v>636</v>
      </c>
      <c r="Y36" t="s">
        <v>637</v>
      </c>
      <c r="Z36" t="s">
        <v>638</v>
      </c>
      <c r="AA36" t="s">
        <v>74</v>
      </c>
      <c r="AB36" t="s">
        <v>639</v>
      </c>
      <c r="AC36" t="s">
        <v>74</v>
      </c>
      <c r="AD36" t="s">
        <v>74</v>
      </c>
      <c r="AE36" t="s">
        <v>74</v>
      </c>
      <c r="AF36" t="s">
        <v>74</v>
      </c>
      <c r="AG36">
        <v>55</v>
      </c>
      <c r="AH36">
        <v>32</v>
      </c>
      <c r="AI36">
        <v>34</v>
      </c>
      <c r="AJ36">
        <v>0</v>
      </c>
      <c r="AK36">
        <v>6</v>
      </c>
      <c r="AL36" t="s">
        <v>387</v>
      </c>
      <c r="AM36" t="s">
        <v>388</v>
      </c>
      <c r="AN36" t="s">
        <v>389</v>
      </c>
      <c r="AO36" t="s">
        <v>622</v>
      </c>
      <c r="AP36" t="s">
        <v>623</v>
      </c>
      <c r="AQ36" t="s">
        <v>74</v>
      </c>
      <c r="AR36" t="s">
        <v>624</v>
      </c>
      <c r="AS36" t="s">
        <v>625</v>
      </c>
      <c r="AT36" t="s">
        <v>626</v>
      </c>
      <c r="AU36">
        <v>2006</v>
      </c>
      <c r="AV36">
        <v>70</v>
      </c>
      <c r="AW36">
        <v>15</v>
      </c>
      <c r="AX36" t="s">
        <v>74</v>
      </c>
      <c r="AY36" t="s">
        <v>74</v>
      </c>
      <c r="AZ36" t="s">
        <v>74</v>
      </c>
      <c r="BA36" t="s">
        <v>74</v>
      </c>
      <c r="BB36">
        <v>4019</v>
      </c>
      <c r="BC36">
        <v>4037</v>
      </c>
      <c r="BD36" t="s">
        <v>74</v>
      </c>
      <c r="BE36" t="s">
        <v>640</v>
      </c>
      <c r="BF36" t="str">
        <f>HYPERLINK("http://dx.doi.org/10.1016/j.gca.2006.06.001","http://dx.doi.org/10.1016/j.gca.2006.06.001")</f>
        <v>http://dx.doi.org/10.1016/j.gca.2006.06.001</v>
      </c>
      <c r="BG36" t="s">
        <v>74</v>
      </c>
      <c r="BH36" t="s">
        <v>74</v>
      </c>
      <c r="BI36">
        <v>19</v>
      </c>
      <c r="BJ36" t="s">
        <v>608</v>
      </c>
      <c r="BK36" t="s">
        <v>97</v>
      </c>
      <c r="BL36" t="s">
        <v>608</v>
      </c>
      <c r="BM36" t="s">
        <v>628</v>
      </c>
      <c r="BN36" t="s">
        <v>74</v>
      </c>
      <c r="BO36" t="s">
        <v>74</v>
      </c>
      <c r="BP36" t="s">
        <v>74</v>
      </c>
      <c r="BQ36" t="s">
        <v>74</v>
      </c>
      <c r="BR36" t="s">
        <v>100</v>
      </c>
      <c r="BS36" t="s">
        <v>641</v>
      </c>
      <c r="BT36" t="str">
        <f>HYPERLINK("https%3A%2F%2Fwww.webofscience.com%2Fwos%2Fwoscc%2Ffull-record%2FWOS:000239765800018","View Full Record in Web of Science")</f>
        <v>View Full Record in Web of Science</v>
      </c>
    </row>
    <row r="37" spans="1:72" x14ac:dyDescent="0.15">
      <c r="A37" t="s">
        <v>72</v>
      </c>
      <c r="B37" t="s">
        <v>642</v>
      </c>
      <c r="C37" t="s">
        <v>74</v>
      </c>
      <c r="D37" t="s">
        <v>74</v>
      </c>
      <c r="E37" t="s">
        <v>74</v>
      </c>
      <c r="F37" t="s">
        <v>643</v>
      </c>
      <c r="G37" t="s">
        <v>74</v>
      </c>
      <c r="H37" t="s">
        <v>74</v>
      </c>
      <c r="I37" t="s">
        <v>644</v>
      </c>
      <c r="J37" t="s">
        <v>614</v>
      </c>
      <c r="K37" t="s">
        <v>74</v>
      </c>
      <c r="L37" t="s">
        <v>74</v>
      </c>
      <c r="M37" t="s">
        <v>78</v>
      </c>
      <c r="N37" t="s">
        <v>52</v>
      </c>
      <c r="O37" t="s">
        <v>645</v>
      </c>
      <c r="P37" t="s">
        <v>646</v>
      </c>
      <c r="Q37" t="s">
        <v>647</v>
      </c>
      <c r="R37" t="s">
        <v>74</v>
      </c>
      <c r="S37" t="s">
        <v>74</v>
      </c>
      <c r="T37" t="s">
        <v>74</v>
      </c>
      <c r="U37" t="s">
        <v>74</v>
      </c>
      <c r="V37" t="s">
        <v>74</v>
      </c>
      <c r="W37" t="s">
        <v>648</v>
      </c>
      <c r="X37" t="s">
        <v>649</v>
      </c>
      <c r="Y37" t="s">
        <v>74</v>
      </c>
      <c r="Z37" t="s">
        <v>74</v>
      </c>
      <c r="AA37" t="s">
        <v>650</v>
      </c>
      <c r="AB37" t="s">
        <v>74</v>
      </c>
      <c r="AC37" t="s">
        <v>74</v>
      </c>
      <c r="AD37" t="s">
        <v>74</v>
      </c>
      <c r="AE37" t="s">
        <v>74</v>
      </c>
      <c r="AF37" t="s">
        <v>74</v>
      </c>
      <c r="AG37">
        <v>2</v>
      </c>
      <c r="AH37">
        <v>0</v>
      </c>
      <c r="AI37">
        <v>0</v>
      </c>
      <c r="AJ37">
        <v>0</v>
      </c>
      <c r="AK37">
        <v>1</v>
      </c>
      <c r="AL37" t="s">
        <v>387</v>
      </c>
      <c r="AM37" t="s">
        <v>388</v>
      </c>
      <c r="AN37" t="s">
        <v>389</v>
      </c>
      <c r="AO37" t="s">
        <v>622</v>
      </c>
      <c r="AP37" t="s">
        <v>74</v>
      </c>
      <c r="AQ37" t="s">
        <v>74</v>
      </c>
      <c r="AR37" t="s">
        <v>624</v>
      </c>
      <c r="AS37" t="s">
        <v>625</v>
      </c>
      <c r="AT37" t="s">
        <v>651</v>
      </c>
      <c r="AU37">
        <v>2006</v>
      </c>
      <c r="AV37">
        <v>70</v>
      </c>
      <c r="AW37">
        <v>18</v>
      </c>
      <c r="AX37" t="s">
        <v>74</v>
      </c>
      <c r="AY37" t="s">
        <v>652</v>
      </c>
      <c r="AZ37" t="s">
        <v>74</v>
      </c>
      <c r="BA37" t="s">
        <v>74</v>
      </c>
      <c r="BB37" t="s">
        <v>653</v>
      </c>
      <c r="BC37" t="s">
        <v>653</v>
      </c>
      <c r="BD37" t="s">
        <v>74</v>
      </c>
      <c r="BE37" t="s">
        <v>654</v>
      </c>
      <c r="BF37" t="str">
        <f>HYPERLINK("http://dx.doi.org/10.1016/j.gca.2006.06.084","http://dx.doi.org/10.1016/j.gca.2006.06.084")</f>
        <v>http://dx.doi.org/10.1016/j.gca.2006.06.084</v>
      </c>
      <c r="BG37" t="s">
        <v>74</v>
      </c>
      <c r="BH37" t="s">
        <v>74</v>
      </c>
      <c r="BI37">
        <v>1</v>
      </c>
      <c r="BJ37" t="s">
        <v>608</v>
      </c>
      <c r="BK37" t="s">
        <v>655</v>
      </c>
      <c r="BL37" t="s">
        <v>608</v>
      </c>
      <c r="BM37" t="s">
        <v>656</v>
      </c>
      <c r="BN37" t="s">
        <v>74</v>
      </c>
      <c r="BO37" t="s">
        <v>74</v>
      </c>
      <c r="BP37" t="s">
        <v>74</v>
      </c>
      <c r="BQ37" t="s">
        <v>74</v>
      </c>
      <c r="BR37" t="s">
        <v>100</v>
      </c>
      <c r="BS37" t="s">
        <v>657</v>
      </c>
      <c r="BT37" t="str">
        <f>HYPERLINK("https%3A%2F%2Fwww.webofscience.com%2Fwos%2Fwoscc%2Ffull-record%2FWOS:000241374200182","View Full Record in Web of Science")</f>
        <v>View Full Record in Web of Science</v>
      </c>
    </row>
    <row r="38" spans="1:72" x14ac:dyDescent="0.15">
      <c r="A38" t="s">
        <v>72</v>
      </c>
      <c r="B38" t="s">
        <v>658</v>
      </c>
      <c r="C38" t="s">
        <v>74</v>
      </c>
      <c r="D38" t="s">
        <v>74</v>
      </c>
      <c r="E38" t="s">
        <v>74</v>
      </c>
      <c r="F38" t="s">
        <v>659</v>
      </c>
      <c r="G38" t="s">
        <v>74</v>
      </c>
      <c r="H38" t="s">
        <v>74</v>
      </c>
      <c r="I38" t="s">
        <v>660</v>
      </c>
      <c r="J38" t="s">
        <v>614</v>
      </c>
      <c r="K38" t="s">
        <v>74</v>
      </c>
      <c r="L38" t="s">
        <v>74</v>
      </c>
      <c r="M38" t="s">
        <v>78</v>
      </c>
      <c r="N38" t="s">
        <v>52</v>
      </c>
      <c r="O38" t="s">
        <v>645</v>
      </c>
      <c r="P38" t="s">
        <v>646</v>
      </c>
      <c r="Q38" t="s">
        <v>647</v>
      </c>
      <c r="R38" t="s">
        <v>74</v>
      </c>
      <c r="S38" t="s">
        <v>74</v>
      </c>
      <c r="T38" t="s">
        <v>74</v>
      </c>
      <c r="U38" t="s">
        <v>74</v>
      </c>
      <c r="V38" t="s">
        <v>74</v>
      </c>
      <c r="W38" t="s">
        <v>661</v>
      </c>
      <c r="X38" t="s">
        <v>662</v>
      </c>
      <c r="Y38" t="s">
        <v>74</v>
      </c>
      <c r="Z38" t="s">
        <v>663</v>
      </c>
      <c r="AA38" t="s">
        <v>74</v>
      </c>
      <c r="AB38" t="s">
        <v>74</v>
      </c>
      <c r="AC38" t="s">
        <v>664</v>
      </c>
      <c r="AD38" t="s">
        <v>665</v>
      </c>
      <c r="AE38" t="s">
        <v>74</v>
      </c>
      <c r="AF38" t="s">
        <v>74</v>
      </c>
      <c r="AG38">
        <v>1</v>
      </c>
      <c r="AH38">
        <v>0</v>
      </c>
      <c r="AI38">
        <v>0</v>
      </c>
      <c r="AJ38">
        <v>0</v>
      </c>
      <c r="AK38">
        <v>5</v>
      </c>
      <c r="AL38" t="s">
        <v>387</v>
      </c>
      <c r="AM38" t="s">
        <v>388</v>
      </c>
      <c r="AN38" t="s">
        <v>389</v>
      </c>
      <c r="AO38" t="s">
        <v>622</v>
      </c>
      <c r="AP38" t="s">
        <v>623</v>
      </c>
      <c r="AQ38" t="s">
        <v>74</v>
      </c>
      <c r="AR38" t="s">
        <v>624</v>
      </c>
      <c r="AS38" t="s">
        <v>625</v>
      </c>
      <c r="AT38" t="s">
        <v>651</v>
      </c>
      <c r="AU38">
        <v>2006</v>
      </c>
      <c r="AV38">
        <v>70</v>
      </c>
      <c r="AW38">
        <v>18</v>
      </c>
      <c r="AX38" t="s">
        <v>74</v>
      </c>
      <c r="AY38" t="s">
        <v>652</v>
      </c>
      <c r="AZ38" t="s">
        <v>74</v>
      </c>
      <c r="BA38" t="s">
        <v>74</v>
      </c>
      <c r="BB38" t="s">
        <v>666</v>
      </c>
      <c r="BC38" t="s">
        <v>666</v>
      </c>
      <c r="BD38" t="s">
        <v>74</v>
      </c>
      <c r="BE38" t="s">
        <v>667</v>
      </c>
      <c r="BF38" t="str">
        <f>HYPERLINK("http://dx.doi.org/10.1016/j.gca.2006.06.132","http://dx.doi.org/10.1016/j.gca.2006.06.132")</f>
        <v>http://dx.doi.org/10.1016/j.gca.2006.06.132</v>
      </c>
      <c r="BG38" t="s">
        <v>74</v>
      </c>
      <c r="BH38" t="s">
        <v>74</v>
      </c>
      <c r="BI38">
        <v>1</v>
      </c>
      <c r="BJ38" t="s">
        <v>608</v>
      </c>
      <c r="BK38" t="s">
        <v>668</v>
      </c>
      <c r="BL38" t="s">
        <v>608</v>
      </c>
      <c r="BM38" t="s">
        <v>656</v>
      </c>
      <c r="BN38" t="s">
        <v>74</v>
      </c>
      <c r="BO38" t="s">
        <v>74</v>
      </c>
      <c r="BP38" t="s">
        <v>74</v>
      </c>
      <c r="BQ38" t="s">
        <v>74</v>
      </c>
      <c r="BR38" t="s">
        <v>100</v>
      </c>
      <c r="BS38" t="s">
        <v>669</v>
      </c>
      <c r="BT38" t="str">
        <f>HYPERLINK("https%3A%2F%2Fwww.webofscience.com%2Fwos%2Fwoscc%2Ffull-record%2FWOS:000241374200229","View Full Record in Web of Science")</f>
        <v>View Full Record in Web of Science</v>
      </c>
    </row>
    <row r="39" spans="1:72" x14ac:dyDescent="0.15">
      <c r="A39" t="s">
        <v>72</v>
      </c>
      <c r="B39" t="s">
        <v>670</v>
      </c>
      <c r="C39" t="s">
        <v>74</v>
      </c>
      <c r="D39" t="s">
        <v>74</v>
      </c>
      <c r="E39" t="s">
        <v>74</v>
      </c>
      <c r="F39" t="s">
        <v>671</v>
      </c>
      <c r="G39" t="s">
        <v>74</v>
      </c>
      <c r="H39" t="s">
        <v>74</v>
      </c>
      <c r="I39" t="s">
        <v>672</v>
      </c>
      <c r="J39" t="s">
        <v>614</v>
      </c>
      <c r="K39" t="s">
        <v>74</v>
      </c>
      <c r="L39" t="s">
        <v>74</v>
      </c>
      <c r="M39" t="s">
        <v>78</v>
      </c>
      <c r="N39" t="s">
        <v>52</v>
      </c>
      <c r="O39" t="s">
        <v>645</v>
      </c>
      <c r="P39" t="s">
        <v>646</v>
      </c>
      <c r="Q39" t="s">
        <v>647</v>
      </c>
      <c r="R39" t="s">
        <v>74</v>
      </c>
      <c r="S39" t="s">
        <v>74</v>
      </c>
      <c r="T39" t="s">
        <v>74</v>
      </c>
      <c r="U39" t="s">
        <v>74</v>
      </c>
      <c r="V39" t="s">
        <v>74</v>
      </c>
      <c r="W39" t="s">
        <v>673</v>
      </c>
      <c r="X39" t="s">
        <v>674</v>
      </c>
      <c r="Y39" t="s">
        <v>74</v>
      </c>
      <c r="Z39" t="s">
        <v>675</v>
      </c>
      <c r="AA39" t="s">
        <v>74</v>
      </c>
      <c r="AB39" t="s">
        <v>74</v>
      </c>
      <c r="AC39" t="s">
        <v>74</v>
      </c>
      <c r="AD39" t="s">
        <v>74</v>
      </c>
      <c r="AE39" t="s">
        <v>74</v>
      </c>
      <c r="AF39" t="s">
        <v>74</v>
      </c>
      <c r="AG39">
        <v>0</v>
      </c>
      <c r="AH39">
        <v>0</v>
      </c>
      <c r="AI39">
        <v>0</v>
      </c>
      <c r="AJ39">
        <v>0</v>
      </c>
      <c r="AK39">
        <v>1</v>
      </c>
      <c r="AL39" t="s">
        <v>387</v>
      </c>
      <c r="AM39" t="s">
        <v>388</v>
      </c>
      <c r="AN39" t="s">
        <v>389</v>
      </c>
      <c r="AO39" t="s">
        <v>622</v>
      </c>
      <c r="AP39" t="s">
        <v>74</v>
      </c>
      <c r="AQ39" t="s">
        <v>74</v>
      </c>
      <c r="AR39" t="s">
        <v>624</v>
      </c>
      <c r="AS39" t="s">
        <v>625</v>
      </c>
      <c r="AT39" t="s">
        <v>651</v>
      </c>
      <c r="AU39">
        <v>2006</v>
      </c>
      <c r="AV39">
        <v>70</v>
      </c>
      <c r="AW39">
        <v>18</v>
      </c>
      <c r="AX39" t="s">
        <v>74</v>
      </c>
      <c r="AY39" t="s">
        <v>652</v>
      </c>
      <c r="AZ39" t="s">
        <v>74</v>
      </c>
      <c r="BA39" t="s">
        <v>74</v>
      </c>
      <c r="BB39" t="s">
        <v>676</v>
      </c>
      <c r="BC39" t="s">
        <v>676</v>
      </c>
      <c r="BD39" t="s">
        <v>74</v>
      </c>
      <c r="BE39" t="s">
        <v>677</v>
      </c>
      <c r="BF39" t="str">
        <f>HYPERLINK("http://dx.doi.org/10.1016/j.gca.2006.06.298","http://dx.doi.org/10.1016/j.gca.2006.06.298")</f>
        <v>http://dx.doi.org/10.1016/j.gca.2006.06.298</v>
      </c>
      <c r="BG39" t="s">
        <v>74</v>
      </c>
      <c r="BH39" t="s">
        <v>74</v>
      </c>
      <c r="BI39">
        <v>1</v>
      </c>
      <c r="BJ39" t="s">
        <v>608</v>
      </c>
      <c r="BK39" t="s">
        <v>655</v>
      </c>
      <c r="BL39" t="s">
        <v>608</v>
      </c>
      <c r="BM39" t="s">
        <v>656</v>
      </c>
      <c r="BN39" t="s">
        <v>74</v>
      </c>
      <c r="BO39" t="s">
        <v>74</v>
      </c>
      <c r="BP39" t="s">
        <v>74</v>
      </c>
      <c r="BQ39" t="s">
        <v>74</v>
      </c>
      <c r="BR39" t="s">
        <v>100</v>
      </c>
      <c r="BS39" t="s">
        <v>678</v>
      </c>
      <c r="BT39" t="str">
        <f>HYPERLINK("https%3A%2F%2Fwww.webofscience.com%2Fwos%2Fwoscc%2Ffull-record%2FWOS:000241374200292","View Full Record in Web of Science")</f>
        <v>View Full Record in Web of Science</v>
      </c>
    </row>
    <row r="40" spans="1:72" x14ac:dyDescent="0.15">
      <c r="A40" t="s">
        <v>72</v>
      </c>
      <c r="B40" t="s">
        <v>679</v>
      </c>
      <c r="C40" t="s">
        <v>74</v>
      </c>
      <c r="D40" t="s">
        <v>74</v>
      </c>
      <c r="E40" t="s">
        <v>74</v>
      </c>
      <c r="F40" t="s">
        <v>680</v>
      </c>
      <c r="G40" t="s">
        <v>74</v>
      </c>
      <c r="H40" t="s">
        <v>74</v>
      </c>
      <c r="I40" t="s">
        <v>681</v>
      </c>
      <c r="J40" t="s">
        <v>614</v>
      </c>
      <c r="K40" t="s">
        <v>74</v>
      </c>
      <c r="L40" t="s">
        <v>74</v>
      </c>
      <c r="M40" t="s">
        <v>78</v>
      </c>
      <c r="N40" t="s">
        <v>52</v>
      </c>
      <c r="O40" t="s">
        <v>645</v>
      </c>
      <c r="P40" t="s">
        <v>646</v>
      </c>
      <c r="Q40" t="s">
        <v>647</v>
      </c>
      <c r="R40" t="s">
        <v>74</v>
      </c>
      <c r="S40" t="s">
        <v>74</v>
      </c>
      <c r="T40" t="s">
        <v>74</v>
      </c>
      <c r="U40" t="s">
        <v>74</v>
      </c>
      <c r="V40" t="s">
        <v>74</v>
      </c>
      <c r="W40" t="s">
        <v>682</v>
      </c>
      <c r="X40" t="s">
        <v>683</v>
      </c>
      <c r="Y40" t="s">
        <v>74</v>
      </c>
      <c r="Z40" t="s">
        <v>684</v>
      </c>
      <c r="AA40" t="s">
        <v>685</v>
      </c>
      <c r="AB40" t="s">
        <v>686</v>
      </c>
      <c r="AC40" t="s">
        <v>74</v>
      </c>
      <c r="AD40" t="s">
        <v>74</v>
      </c>
      <c r="AE40" t="s">
        <v>74</v>
      </c>
      <c r="AF40" t="s">
        <v>74</v>
      </c>
      <c r="AG40">
        <v>2</v>
      </c>
      <c r="AH40">
        <v>1</v>
      </c>
      <c r="AI40">
        <v>1</v>
      </c>
      <c r="AJ40">
        <v>0</v>
      </c>
      <c r="AK40">
        <v>4</v>
      </c>
      <c r="AL40" t="s">
        <v>387</v>
      </c>
      <c r="AM40" t="s">
        <v>388</v>
      </c>
      <c r="AN40" t="s">
        <v>389</v>
      </c>
      <c r="AO40" t="s">
        <v>622</v>
      </c>
      <c r="AP40" t="s">
        <v>74</v>
      </c>
      <c r="AQ40" t="s">
        <v>74</v>
      </c>
      <c r="AR40" t="s">
        <v>624</v>
      </c>
      <c r="AS40" t="s">
        <v>625</v>
      </c>
      <c r="AT40" t="s">
        <v>651</v>
      </c>
      <c r="AU40">
        <v>2006</v>
      </c>
      <c r="AV40">
        <v>70</v>
      </c>
      <c r="AW40">
        <v>18</v>
      </c>
      <c r="AX40" t="s">
        <v>74</v>
      </c>
      <c r="AY40" t="s">
        <v>652</v>
      </c>
      <c r="AZ40" t="s">
        <v>74</v>
      </c>
      <c r="BA40" t="s">
        <v>74</v>
      </c>
      <c r="BB40" t="s">
        <v>687</v>
      </c>
      <c r="BC40" t="s">
        <v>687</v>
      </c>
      <c r="BD40" t="s">
        <v>74</v>
      </c>
      <c r="BE40" t="s">
        <v>688</v>
      </c>
      <c r="BF40" t="str">
        <f>HYPERLINK("http://dx.doi.org/10.1016/j.gca.2006.06.844","http://dx.doi.org/10.1016/j.gca.2006.06.844")</f>
        <v>http://dx.doi.org/10.1016/j.gca.2006.06.844</v>
      </c>
      <c r="BG40" t="s">
        <v>74</v>
      </c>
      <c r="BH40" t="s">
        <v>74</v>
      </c>
      <c r="BI40">
        <v>1</v>
      </c>
      <c r="BJ40" t="s">
        <v>608</v>
      </c>
      <c r="BK40" t="s">
        <v>655</v>
      </c>
      <c r="BL40" t="s">
        <v>608</v>
      </c>
      <c r="BM40" t="s">
        <v>656</v>
      </c>
      <c r="BN40" t="s">
        <v>74</v>
      </c>
      <c r="BO40" t="s">
        <v>74</v>
      </c>
      <c r="BP40" t="s">
        <v>74</v>
      </c>
      <c r="BQ40" t="s">
        <v>74</v>
      </c>
      <c r="BR40" t="s">
        <v>100</v>
      </c>
      <c r="BS40" t="s">
        <v>689</v>
      </c>
      <c r="BT40" t="str">
        <f>HYPERLINK("https%3A%2F%2Fwww.webofscience.com%2Fwos%2Fwoscc%2Ffull-record%2FWOS:000241374201090","View Full Record in Web of Science")</f>
        <v>View Full Record in Web of Science</v>
      </c>
    </row>
    <row r="41" spans="1:72" x14ac:dyDescent="0.15">
      <c r="A41" t="s">
        <v>72</v>
      </c>
      <c r="B41" t="s">
        <v>690</v>
      </c>
      <c r="C41" t="s">
        <v>74</v>
      </c>
      <c r="D41" t="s">
        <v>74</v>
      </c>
      <c r="E41" t="s">
        <v>74</v>
      </c>
      <c r="F41" t="s">
        <v>691</v>
      </c>
      <c r="G41" t="s">
        <v>74</v>
      </c>
      <c r="H41" t="s">
        <v>74</v>
      </c>
      <c r="I41" t="s">
        <v>692</v>
      </c>
      <c r="J41" t="s">
        <v>614</v>
      </c>
      <c r="K41" t="s">
        <v>74</v>
      </c>
      <c r="L41" t="s">
        <v>74</v>
      </c>
      <c r="M41" t="s">
        <v>78</v>
      </c>
      <c r="N41" t="s">
        <v>52</v>
      </c>
      <c r="O41" t="s">
        <v>645</v>
      </c>
      <c r="P41" t="s">
        <v>646</v>
      </c>
      <c r="Q41" t="s">
        <v>647</v>
      </c>
      <c r="R41" t="s">
        <v>74</v>
      </c>
      <c r="S41" t="s">
        <v>74</v>
      </c>
      <c r="T41" t="s">
        <v>74</v>
      </c>
      <c r="U41" t="s">
        <v>74</v>
      </c>
      <c r="V41" t="s">
        <v>74</v>
      </c>
      <c r="W41" t="s">
        <v>693</v>
      </c>
      <c r="X41" t="s">
        <v>694</v>
      </c>
      <c r="Y41" t="s">
        <v>74</v>
      </c>
      <c r="Z41" t="s">
        <v>695</v>
      </c>
      <c r="AA41" t="s">
        <v>696</v>
      </c>
      <c r="AB41" t="s">
        <v>74</v>
      </c>
      <c r="AC41" t="s">
        <v>74</v>
      </c>
      <c r="AD41" t="s">
        <v>74</v>
      </c>
      <c r="AE41" t="s">
        <v>74</v>
      </c>
      <c r="AF41" t="s">
        <v>74</v>
      </c>
      <c r="AG41">
        <v>5</v>
      </c>
      <c r="AH41">
        <v>0</v>
      </c>
      <c r="AI41">
        <v>0</v>
      </c>
      <c r="AJ41">
        <v>0</v>
      </c>
      <c r="AK41">
        <v>3</v>
      </c>
      <c r="AL41" t="s">
        <v>387</v>
      </c>
      <c r="AM41" t="s">
        <v>388</v>
      </c>
      <c r="AN41" t="s">
        <v>389</v>
      </c>
      <c r="AO41" t="s">
        <v>622</v>
      </c>
      <c r="AP41" t="s">
        <v>74</v>
      </c>
      <c r="AQ41" t="s">
        <v>74</v>
      </c>
      <c r="AR41" t="s">
        <v>624</v>
      </c>
      <c r="AS41" t="s">
        <v>625</v>
      </c>
      <c r="AT41" t="s">
        <v>651</v>
      </c>
      <c r="AU41">
        <v>2006</v>
      </c>
      <c r="AV41">
        <v>70</v>
      </c>
      <c r="AW41">
        <v>18</v>
      </c>
      <c r="AX41" t="s">
        <v>74</v>
      </c>
      <c r="AY41" t="s">
        <v>652</v>
      </c>
      <c r="AZ41" t="s">
        <v>74</v>
      </c>
      <c r="BA41" t="s">
        <v>74</v>
      </c>
      <c r="BB41" t="s">
        <v>697</v>
      </c>
      <c r="BC41" t="s">
        <v>697</v>
      </c>
      <c r="BD41" t="s">
        <v>74</v>
      </c>
      <c r="BE41" t="s">
        <v>698</v>
      </c>
      <c r="BF41" t="str">
        <f>HYPERLINK("http://dx.doi.org/10.1016/j.gca.2006.06.912","http://dx.doi.org/10.1016/j.gca.2006.06.912")</f>
        <v>http://dx.doi.org/10.1016/j.gca.2006.06.912</v>
      </c>
      <c r="BG41" t="s">
        <v>74</v>
      </c>
      <c r="BH41" t="s">
        <v>74</v>
      </c>
      <c r="BI41">
        <v>1</v>
      </c>
      <c r="BJ41" t="s">
        <v>608</v>
      </c>
      <c r="BK41" t="s">
        <v>655</v>
      </c>
      <c r="BL41" t="s">
        <v>608</v>
      </c>
      <c r="BM41" t="s">
        <v>656</v>
      </c>
      <c r="BN41" t="s">
        <v>74</v>
      </c>
      <c r="BO41" t="s">
        <v>74</v>
      </c>
      <c r="BP41" t="s">
        <v>74</v>
      </c>
      <c r="BQ41" t="s">
        <v>74</v>
      </c>
      <c r="BR41" t="s">
        <v>100</v>
      </c>
      <c r="BS41" t="s">
        <v>699</v>
      </c>
      <c r="BT41" t="str">
        <f>HYPERLINK("https%3A%2F%2Fwww.webofscience.com%2Fwos%2Fwoscc%2Ffull-record%2FWOS:000241374201155","View Full Record in Web of Science")</f>
        <v>View Full Record in Web of Science</v>
      </c>
    </row>
    <row r="42" spans="1:72" x14ac:dyDescent="0.15">
      <c r="A42" t="s">
        <v>72</v>
      </c>
      <c r="B42" t="s">
        <v>700</v>
      </c>
      <c r="C42" t="s">
        <v>74</v>
      </c>
      <c r="D42" t="s">
        <v>74</v>
      </c>
      <c r="E42" t="s">
        <v>74</v>
      </c>
      <c r="F42" t="s">
        <v>701</v>
      </c>
      <c r="G42" t="s">
        <v>74</v>
      </c>
      <c r="H42" t="s">
        <v>74</v>
      </c>
      <c r="I42" t="s">
        <v>702</v>
      </c>
      <c r="J42" t="s">
        <v>614</v>
      </c>
      <c r="K42" t="s">
        <v>74</v>
      </c>
      <c r="L42" t="s">
        <v>74</v>
      </c>
      <c r="M42" t="s">
        <v>78</v>
      </c>
      <c r="N42" t="s">
        <v>52</v>
      </c>
      <c r="O42" t="s">
        <v>645</v>
      </c>
      <c r="P42" t="s">
        <v>646</v>
      </c>
      <c r="Q42" t="s">
        <v>647</v>
      </c>
      <c r="R42" t="s">
        <v>74</v>
      </c>
      <c r="S42" t="s">
        <v>74</v>
      </c>
      <c r="T42" t="s">
        <v>74</v>
      </c>
      <c r="U42" t="s">
        <v>74</v>
      </c>
      <c r="V42" t="s">
        <v>74</v>
      </c>
      <c r="W42" t="s">
        <v>703</v>
      </c>
      <c r="X42" t="s">
        <v>704</v>
      </c>
      <c r="Y42" t="s">
        <v>74</v>
      </c>
      <c r="Z42" t="s">
        <v>705</v>
      </c>
      <c r="AA42" t="s">
        <v>706</v>
      </c>
      <c r="AB42" t="s">
        <v>707</v>
      </c>
      <c r="AC42" t="s">
        <v>74</v>
      </c>
      <c r="AD42" t="s">
        <v>74</v>
      </c>
      <c r="AE42" t="s">
        <v>74</v>
      </c>
      <c r="AF42" t="s">
        <v>74</v>
      </c>
      <c r="AG42">
        <v>0</v>
      </c>
      <c r="AH42">
        <v>1</v>
      </c>
      <c r="AI42">
        <v>1</v>
      </c>
      <c r="AJ42">
        <v>1</v>
      </c>
      <c r="AK42">
        <v>9</v>
      </c>
      <c r="AL42" t="s">
        <v>387</v>
      </c>
      <c r="AM42" t="s">
        <v>388</v>
      </c>
      <c r="AN42" t="s">
        <v>389</v>
      </c>
      <c r="AO42" t="s">
        <v>622</v>
      </c>
      <c r="AP42" t="s">
        <v>74</v>
      </c>
      <c r="AQ42" t="s">
        <v>74</v>
      </c>
      <c r="AR42" t="s">
        <v>624</v>
      </c>
      <c r="AS42" t="s">
        <v>625</v>
      </c>
      <c r="AT42" t="s">
        <v>651</v>
      </c>
      <c r="AU42">
        <v>2006</v>
      </c>
      <c r="AV42">
        <v>70</v>
      </c>
      <c r="AW42">
        <v>18</v>
      </c>
      <c r="AX42" t="s">
        <v>74</v>
      </c>
      <c r="AY42" t="s">
        <v>652</v>
      </c>
      <c r="AZ42" t="s">
        <v>74</v>
      </c>
      <c r="BA42" t="s">
        <v>74</v>
      </c>
      <c r="BB42" t="s">
        <v>708</v>
      </c>
      <c r="BC42" t="s">
        <v>708</v>
      </c>
      <c r="BD42" t="s">
        <v>74</v>
      </c>
      <c r="BE42" t="s">
        <v>709</v>
      </c>
      <c r="BF42" t="str">
        <f>HYPERLINK("http://dx.doi.org/10.1016/j.gca.2006.06.1010","http://dx.doi.org/10.1016/j.gca.2006.06.1010")</f>
        <v>http://dx.doi.org/10.1016/j.gca.2006.06.1010</v>
      </c>
      <c r="BG42" t="s">
        <v>74</v>
      </c>
      <c r="BH42" t="s">
        <v>74</v>
      </c>
      <c r="BI42">
        <v>1</v>
      </c>
      <c r="BJ42" t="s">
        <v>608</v>
      </c>
      <c r="BK42" t="s">
        <v>655</v>
      </c>
      <c r="BL42" t="s">
        <v>608</v>
      </c>
      <c r="BM42" t="s">
        <v>656</v>
      </c>
      <c r="BN42" t="s">
        <v>74</v>
      </c>
      <c r="BO42" t="s">
        <v>74</v>
      </c>
      <c r="BP42" t="s">
        <v>74</v>
      </c>
      <c r="BQ42" t="s">
        <v>74</v>
      </c>
      <c r="BR42" t="s">
        <v>100</v>
      </c>
      <c r="BS42" t="s">
        <v>710</v>
      </c>
      <c r="BT42" t="str">
        <f>HYPERLINK("https%3A%2F%2Fwww.webofscience.com%2Fwos%2Fwoscc%2Ffull-record%2FWOS:000241374201342","View Full Record in Web of Science")</f>
        <v>View Full Record in Web of Science</v>
      </c>
    </row>
    <row r="43" spans="1:72" x14ac:dyDescent="0.15">
      <c r="A43" t="s">
        <v>72</v>
      </c>
      <c r="B43" t="s">
        <v>711</v>
      </c>
      <c r="C43" t="s">
        <v>74</v>
      </c>
      <c r="D43" t="s">
        <v>74</v>
      </c>
      <c r="E43" t="s">
        <v>74</v>
      </c>
      <c r="F43" t="s">
        <v>712</v>
      </c>
      <c r="G43" t="s">
        <v>74</v>
      </c>
      <c r="H43" t="s">
        <v>74</v>
      </c>
      <c r="I43" t="s">
        <v>713</v>
      </c>
      <c r="J43" t="s">
        <v>614</v>
      </c>
      <c r="K43" t="s">
        <v>74</v>
      </c>
      <c r="L43" t="s">
        <v>74</v>
      </c>
      <c r="M43" t="s">
        <v>78</v>
      </c>
      <c r="N43" t="s">
        <v>52</v>
      </c>
      <c r="O43" t="s">
        <v>645</v>
      </c>
      <c r="P43" t="s">
        <v>646</v>
      </c>
      <c r="Q43" t="s">
        <v>647</v>
      </c>
      <c r="R43" t="s">
        <v>74</v>
      </c>
      <c r="S43" t="s">
        <v>74</v>
      </c>
      <c r="T43" t="s">
        <v>74</v>
      </c>
      <c r="U43" t="s">
        <v>74</v>
      </c>
      <c r="V43" t="s">
        <v>74</v>
      </c>
      <c r="W43" t="s">
        <v>714</v>
      </c>
      <c r="X43" t="s">
        <v>715</v>
      </c>
      <c r="Y43" t="s">
        <v>74</v>
      </c>
      <c r="Z43" t="s">
        <v>716</v>
      </c>
      <c r="AA43" t="s">
        <v>74</v>
      </c>
      <c r="AB43" t="s">
        <v>717</v>
      </c>
      <c r="AC43" t="s">
        <v>74</v>
      </c>
      <c r="AD43" t="s">
        <v>74</v>
      </c>
      <c r="AE43" t="s">
        <v>74</v>
      </c>
      <c r="AF43" t="s">
        <v>74</v>
      </c>
      <c r="AG43">
        <v>0</v>
      </c>
      <c r="AH43">
        <v>0</v>
      </c>
      <c r="AI43">
        <v>0</v>
      </c>
      <c r="AJ43">
        <v>0</v>
      </c>
      <c r="AK43">
        <v>2</v>
      </c>
      <c r="AL43" t="s">
        <v>387</v>
      </c>
      <c r="AM43" t="s">
        <v>388</v>
      </c>
      <c r="AN43" t="s">
        <v>389</v>
      </c>
      <c r="AO43" t="s">
        <v>622</v>
      </c>
      <c r="AP43" t="s">
        <v>623</v>
      </c>
      <c r="AQ43" t="s">
        <v>74</v>
      </c>
      <c r="AR43" t="s">
        <v>624</v>
      </c>
      <c r="AS43" t="s">
        <v>625</v>
      </c>
      <c r="AT43" t="s">
        <v>651</v>
      </c>
      <c r="AU43">
        <v>2006</v>
      </c>
      <c r="AV43">
        <v>70</v>
      </c>
      <c r="AW43">
        <v>18</v>
      </c>
      <c r="AX43" t="s">
        <v>74</v>
      </c>
      <c r="AY43" t="s">
        <v>652</v>
      </c>
      <c r="AZ43" t="s">
        <v>74</v>
      </c>
      <c r="BA43" t="s">
        <v>74</v>
      </c>
      <c r="BB43" t="s">
        <v>718</v>
      </c>
      <c r="BC43" t="s">
        <v>718</v>
      </c>
      <c r="BD43" t="s">
        <v>74</v>
      </c>
      <c r="BE43" t="s">
        <v>719</v>
      </c>
      <c r="BF43" t="str">
        <f>HYPERLINK("http://dx.doi.org/10.1016/j.gca.2006.06.1243","http://dx.doi.org/10.1016/j.gca.2006.06.1243")</f>
        <v>http://dx.doi.org/10.1016/j.gca.2006.06.1243</v>
      </c>
      <c r="BG43" t="s">
        <v>74</v>
      </c>
      <c r="BH43" t="s">
        <v>74</v>
      </c>
      <c r="BI43">
        <v>1</v>
      </c>
      <c r="BJ43" t="s">
        <v>608</v>
      </c>
      <c r="BK43" t="s">
        <v>668</v>
      </c>
      <c r="BL43" t="s">
        <v>608</v>
      </c>
      <c r="BM43" t="s">
        <v>656</v>
      </c>
      <c r="BN43" t="s">
        <v>74</v>
      </c>
      <c r="BO43" t="s">
        <v>74</v>
      </c>
      <c r="BP43" t="s">
        <v>74</v>
      </c>
      <c r="BQ43" t="s">
        <v>74</v>
      </c>
      <c r="BR43" t="s">
        <v>100</v>
      </c>
      <c r="BS43" t="s">
        <v>720</v>
      </c>
      <c r="BT43" t="str">
        <f>HYPERLINK("https%3A%2F%2Fwww.webofscience.com%2Fwos%2Fwoscc%2Ffull-record%2FWOS:000241374201576","View Full Record in Web of Science")</f>
        <v>View Full Record in Web of Science</v>
      </c>
    </row>
    <row r="44" spans="1:72" x14ac:dyDescent="0.15">
      <c r="A44" t="s">
        <v>72</v>
      </c>
      <c r="B44" t="s">
        <v>721</v>
      </c>
      <c r="C44" t="s">
        <v>74</v>
      </c>
      <c r="D44" t="s">
        <v>74</v>
      </c>
      <c r="E44" t="s">
        <v>74</v>
      </c>
      <c r="F44" t="s">
        <v>722</v>
      </c>
      <c r="G44" t="s">
        <v>74</v>
      </c>
      <c r="H44" t="s">
        <v>74</v>
      </c>
      <c r="I44" t="s">
        <v>723</v>
      </c>
      <c r="J44" t="s">
        <v>614</v>
      </c>
      <c r="K44" t="s">
        <v>74</v>
      </c>
      <c r="L44" t="s">
        <v>74</v>
      </c>
      <c r="M44" t="s">
        <v>78</v>
      </c>
      <c r="N44" t="s">
        <v>52</v>
      </c>
      <c r="O44" t="s">
        <v>645</v>
      </c>
      <c r="P44" t="s">
        <v>646</v>
      </c>
      <c r="Q44" t="s">
        <v>647</v>
      </c>
      <c r="R44" t="s">
        <v>74</v>
      </c>
      <c r="S44" t="s">
        <v>74</v>
      </c>
      <c r="T44" t="s">
        <v>74</v>
      </c>
      <c r="U44" t="s">
        <v>74</v>
      </c>
      <c r="V44" t="s">
        <v>74</v>
      </c>
      <c r="W44" t="s">
        <v>724</v>
      </c>
      <c r="X44" t="s">
        <v>725</v>
      </c>
      <c r="Y44" t="s">
        <v>74</v>
      </c>
      <c r="Z44" t="s">
        <v>726</v>
      </c>
      <c r="AA44" t="s">
        <v>74</v>
      </c>
      <c r="AB44" t="s">
        <v>74</v>
      </c>
      <c r="AC44" t="s">
        <v>74</v>
      </c>
      <c r="AD44" t="s">
        <v>74</v>
      </c>
      <c r="AE44" t="s">
        <v>74</v>
      </c>
      <c r="AF44" t="s">
        <v>74</v>
      </c>
      <c r="AG44">
        <v>0</v>
      </c>
      <c r="AH44">
        <v>0</v>
      </c>
      <c r="AI44">
        <v>0</v>
      </c>
      <c r="AJ44">
        <v>0</v>
      </c>
      <c r="AK44">
        <v>2</v>
      </c>
      <c r="AL44" t="s">
        <v>387</v>
      </c>
      <c r="AM44" t="s">
        <v>388</v>
      </c>
      <c r="AN44" t="s">
        <v>389</v>
      </c>
      <c r="AO44" t="s">
        <v>622</v>
      </c>
      <c r="AP44" t="s">
        <v>74</v>
      </c>
      <c r="AQ44" t="s">
        <v>74</v>
      </c>
      <c r="AR44" t="s">
        <v>624</v>
      </c>
      <c r="AS44" t="s">
        <v>625</v>
      </c>
      <c r="AT44" t="s">
        <v>651</v>
      </c>
      <c r="AU44">
        <v>2006</v>
      </c>
      <c r="AV44">
        <v>70</v>
      </c>
      <c r="AW44">
        <v>18</v>
      </c>
      <c r="AX44" t="s">
        <v>74</v>
      </c>
      <c r="AY44" t="s">
        <v>652</v>
      </c>
      <c r="AZ44" t="s">
        <v>74</v>
      </c>
      <c r="BA44" t="s">
        <v>74</v>
      </c>
      <c r="BB44" t="s">
        <v>727</v>
      </c>
      <c r="BC44" t="s">
        <v>727</v>
      </c>
      <c r="BD44" t="s">
        <v>74</v>
      </c>
      <c r="BE44" t="s">
        <v>728</v>
      </c>
      <c r="BF44" t="str">
        <f>HYPERLINK("http://dx.doi.org/10.1016/j.gca.2006.06.1507","http://dx.doi.org/10.1016/j.gca.2006.06.1507")</f>
        <v>http://dx.doi.org/10.1016/j.gca.2006.06.1507</v>
      </c>
      <c r="BG44" t="s">
        <v>74</v>
      </c>
      <c r="BH44" t="s">
        <v>74</v>
      </c>
      <c r="BI44">
        <v>1</v>
      </c>
      <c r="BJ44" t="s">
        <v>608</v>
      </c>
      <c r="BK44" t="s">
        <v>655</v>
      </c>
      <c r="BL44" t="s">
        <v>608</v>
      </c>
      <c r="BM44" t="s">
        <v>656</v>
      </c>
      <c r="BN44" t="s">
        <v>74</v>
      </c>
      <c r="BO44" t="s">
        <v>74</v>
      </c>
      <c r="BP44" t="s">
        <v>74</v>
      </c>
      <c r="BQ44" t="s">
        <v>74</v>
      </c>
      <c r="BR44" t="s">
        <v>100</v>
      </c>
      <c r="BS44" t="s">
        <v>729</v>
      </c>
      <c r="BT44" t="str">
        <f>HYPERLINK("https%3A%2F%2Fwww.webofscience.com%2Fwos%2Fwoscc%2Ffull-record%2FWOS:000241374201630","View Full Record in Web of Science")</f>
        <v>View Full Record in Web of Science</v>
      </c>
    </row>
    <row r="45" spans="1:72" x14ac:dyDescent="0.15">
      <c r="A45" t="s">
        <v>72</v>
      </c>
      <c r="B45" t="s">
        <v>730</v>
      </c>
      <c r="C45" t="s">
        <v>74</v>
      </c>
      <c r="D45" t="s">
        <v>74</v>
      </c>
      <c r="E45" t="s">
        <v>74</v>
      </c>
      <c r="F45" t="s">
        <v>731</v>
      </c>
      <c r="G45" t="s">
        <v>74</v>
      </c>
      <c r="H45" t="s">
        <v>74</v>
      </c>
      <c r="I45" t="s">
        <v>732</v>
      </c>
      <c r="J45" t="s">
        <v>733</v>
      </c>
      <c r="K45" t="s">
        <v>74</v>
      </c>
      <c r="L45" t="s">
        <v>74</v>
      </c>
      <c r="M45" t="s">
        <v>78</v>
      </c>
      <c r="N45" t="s">
        <v>79</v>
      </c>
      <c r="O45" t="s">
        <v>74</v>
      </c>
      <c r="P45" t="s">
        <v>74</v>
      </c>
      <c r="Q45" t="s">
        <v>74</v>
      </c>
      <c r="R45" t="s">
        <v>74</v>
      </c>
      <c r="S45" t="s">
        <v>74</v>
      </c>
      <c r="T45" t="s">
        <v>734</v>
      </c>
      <c r="U45" t="s">
        <v>735</v>
      </c>
      <c r="V45" t="s">
        <v>736</v>
      </c>
      <c r="W45" t="s">
        <v>737</v>
      </c>
      <c r="X45" t="s">
        <v>738</v>
      </c>
      <c r="Y45" t="s">
        <v>739</v>
      </c>
      <c r="Z45" t="s">
        <v>74</v>
      </c>
      <c r="AA45" t="s">
        <v>740</v>
      </c>
      <c r="AB45" t="s">
        <v>741</v>
      </c>
      <c r="AC45" t="s">
        <v>74</v>
      </c>
      <c r="AD45" t="s">
        <v>74</v>
      </c>
      <c r="AE45" t="s">
        <v>74</v>
      </c>
      <c r="AF45" t="s">
        <v>74</v>
      </c>
      <c r="AG45">
        <v>37</v>
      </c>
      <c r="AH45">
        <v>113</v>
      </c>
      <c r="AI45">
        <v>154</v>
      </c>
      <c r="AJ45">
        <v>4</v>
      </c>
      <c r="AK45">
        <v>59</v>
      </c>
      <c r="AL45" t="s">
        <v>742</v>
      </c>
      <c r="AM45" t="s">
        <v>161</v>
      </c>
      <c r="AN45" t="s">
        <v>743</v>
      </c>
      <c r="AO45" t="s">
        <v>744</v>
      </c>
      <c r="AP45" t="s">
        <v>745</v>
      </c>
      <c r="AQ45" t="s">
        <v>74</v>
      </c>
      <c r="AR45" t="s">
        <v>733</v>
      </c>
      <c r="AS45" t="s">
        <v>528</v>
      </c>
      <c r="AT45" t="s">
        <v>94</v>
      </c>
      <c r="AU45">
        <v>2006</v>
      </c>
      <c r="AV45">
        <v>34</v>
      </c>
      <c r="AW45">
        <v>8</v>
      </c>
      <c r="AX45" t="s">
        <v>74</v>
      </c>
      <c r="AY45" t="s">
        <v>74</v>
      </c>
      <c r="AZ45" t="s">
        <v>74</v>
      </c>
      <c r="BA45" t="s">
        <v>74</v>
      </c>
      <c r="BB45">
        <v>621</v>
      </c>
      <c r="BC45">
        <v>624</v>
      </c>
      <c r="BD45" t="s">
        <v>74</v>
      </c>
      <c r="BE45" t="s">
        <v>746</v>
      </c>
      <c r="BF45" t="str">
        <f>HYPERLINK("http://dx.doi.org/10.1130/G22567.1","http://dx.doi.org/10.1130/G22567.1")</f>
        <v>http://dx.doi.org/10.1130/G22567.1</v>
      </c>
      <c r="BG45" t="s">
        <v>74</v>
      </c>
      <c r="BH45" t="s">
        <v>74</v>
      </c>
      <c r="BI45">
        <v>4</v>
      </c>
      <c r="BJ45" t="s">
        <v>528</v>
      </c>
      <c r="BK45" t="s">
        <v>97</v>
      </c>
      <c r="BL45" t="s">
        <v>528</v>
      </c>
      <c r="BM45" t="s">
        <v>747</v>
      </c>
      <c r="BN45" t="s">
        <v>74</v>
      </c>
      <c r="BO45" t="s">
        <v>74</v>
      </c>
      <c r="BP45" t="s">
        <v>74</v>
      </c>
      <c r="BQ45" t="s">
        <v>74</v>
      </c>
      <c r="BR45" t="s">
        <v>100</v>
      </c>
      <c r="BS45" t="s">
        <v>748</v>
      </c>
      <c r="BT45" t="str">
        <f>HYPERLINK("https%3A%2F%2Fwww.webofscience.com%2Fwos%2Fwoscc%2Ffull-record%2FWOS:000239937200004","View Full Record in Web of Science")</f>
        <v>View Full Record in Web of Science</v>
      </c>
    </row>
    <row r="46" spans="1:72" x14ac:dyDescent="0.15">
      <c r="A46" t="s">
        <v>72</v>
      </c>
      <c r="B46" t="s">
        <v>749</v>
      </c>
      <c r="C46" t="s">
        <v>74</v>
      </c>
      <c r="D46" t="s">
        <v>74</v>
      </c>
      <c r="E46" t="s">
        <v>74</v>
      </c>
      <c r="F46" t="s">
        <v>750</v>
      </c>
      <c r="G46" t="s">
        <v>74</v>
      </c>
      <c r="H46" t="s">
        <v>74</v>
      </c>
      <c r="I46" t="s">
        <v>751</v>
      </c>
      <c r="J46" t="s">
        <v>752</v>
      </c>
      <c r="K46" t="s">
        <v>74</v>
      </c>
      <c r="L46" t="s">
        <v>74</v>
      </c>
      <c r="M46" t="s">
        <v>78</v>
      </c>
      <c r="N46" t="s">
        <v>79</v>
      </c>
      <c r="O46" t="s">
        <v>74</v>
      </c>
      <c r="P46" t="s">
        <v>74</v>
      </c>
      <c r="Q46" t="s">
        <v>74</v>
      </c>
      <c r="R46" t="s">
        <v>74</v>
      </c>
      <c r="S46" t="s">
        <v>74</v>
      </c>
      <c r="T46" t="s">
        <v>753</v>
      </c>
      <c r="U46" t="s">
        <v>754</v>
      </c>
      <c r="V46" t="s">
        <v>755</v>
      </c>
      <c r="W46" t="s">
        <v>756</v>
      </c>
      <c r="X46" t="s">
        <v>757</v>
      </c>
      <c r="Y46" t="s">
        <v>758</v>
      </c>
      <c r="Z46" t="s">
        <v>759</v>
      </c>
      <c r="AA46" t="s">
        <v>760</v>
      </c>
      <c r="AB46" t="s">
        <v>74</v>
      </c>
      <c r="AC46" t="s">
        <v>74</v>
      </c>
      <c r="AD46" t="s">
        <v>74</v>
      </c>
      <c r="AE46" t="s">
        <v>74</v>
      </c>
      <c r="AF46" t="s">
        <v>74</v>
      </c>
      <c r="AG46">
        <v>33</v>
      </c>
      <c r="AH46">
        <v>9</v>
      </c>
      <c r="AI46">
        <v>9</v>
      </c>
      <c r="AJ46">
        <v>0</v>
      </c>
      <c r="AK46">
        <v>2</v>
      </c>
      <c r="AL46" t="s">
        <v>519</v>
      </c>
      <c r="AM46" t="s">
        <v>520</v>
      </c>
      <c r="AN46" t="s">
        <v>521</v>
      </c>
      <c r="AO46" t="s">
        <v>761</v>
      </c>
      <c r="AP46" t="s">
        <v>762</v>
      </c>
      <c r="AQ46" t="s">
        <v>74</v>
      </c>
      <c r="AR46" t="s">
        <v>763</v>
      </c>
      <c r="AS46" t="s">
        <v>764</v>
      </c>
      <c r="AT46" t="s">
        <v>94</v>
      </c>
      <c r="AU46">
        <v>2006</v>
      </c>
      <c r="AV46">
        <v>10</v>
      </c>
      <c r="AW46" t="s">
        <v>765</v>
      </c>
      <c r="AX46" t="s">
        <v>74</v>
      </c>
      <c r="AY46" t="s">
        <v>74</v>
      </c>
      <c r="AZ46" t="s">
        <v>74</v>
      </c>
      <c r="BA46" t="s">
        <v>74</v>
      </c>
      <c r="BB46">
        <v>18</v>
      </c>
      <c r="BC46">
        <v>28</v>
      </c>
      <c r="BD46" t="s">
        <v>74</v>
      </c>
      <c r="BE46" t="s">
        <v>766</v>
      </c>
      <c r="BF46" t="str">
        <f>HYPERLINK("http://dx.doi.org/10.1016/j.gr.2005.11.011","http://dx.doi.org/10.1016/j.gr.2005.11.011")</f>
        <v>http://dx.doi.org/10.1016/j.gr.2005.11.011</v>
      </c>
      <c r="BG46" t="s">
        <v>74</v>
      </c>
      <c r="BH46" t="s">
        <v>74</v>
      </c>
      <c r="BI46">
        <v>11</v>
      </c>
      <c r="BJ46" t="s">
        <v>527</v>
      </c>
      <c r="BK46" t="s">
        <v>97</v>
      </c>
      <c r="BL46" t="s">
        <v>528</v>
      </c>
      <c r="BM46" t="s">
        <v>767</v>
      </c>
      <c r="BN46" t="s">
        <v>74</v>
      </c>
      <c r="BO46" t="s">
        <v>74</v>
      </c>
      <c r="BP46" t="s">
        <v>74</v>
      </c>
      <c r="BQ46" t="s">
        <v>74</v>
      </c>
      <c r="BR46" t="s">
        <v>100</v>
      </c>
      <c r="BS46" t="s">
        <v>768</v>
      </c>
      <c r="BT46" t="str">
        <f>HYPERLINK("https%3A%2F%2Fwww.webofscience.com%2Fwos%2Fwoscc%2Ffull-record%2FWOS:000239397700003","View Full Record in Web of Science")</f>
        <v>View Full Record in Web of Science</v>
      </c>
    </row>
    <row r="47" spans="1:72" x14ac:dyDescent="0.15">
      <c r="A47" t="s">
        <v>72</v>
      </c>
      <c r="B47" t="s">
        <v>769</v>
      </c>
      <c r="C47" t="s">
        <v>74</v>
      </c>
      <c r="D47" t="s">
        <v>74</v>
      </c>
      <c r="E47" t="s">
        <v>74</v>
      </c>
      <c r="F47" t="s">
        <v>770</v>
      </c>
      <c r="G47" t="s">
        <v>74</v>
      </c>
      <c r="H47" t="s">
        <v>74</v>
      </c>
      <c r="I47" t="s">
        <v>771</v>
      </c>
      <c r="J47" t="s">
        <v>752</v>
      </c>
      <c r="K47" t="s">
        <v>74</v>
      </c>
      <c r="L47" t="s">
        <v>74</v>
      </c>
      <c r="M47" t="s">
        <v>78</v>
      </c>
      <c r="N47" t="s">
        <v>79</v>
      </c>
      <c r="O47" t="s">
        <v>74</v>
      </c>
      <c r="P47" t="s">
        <v>74</v>
      </c>
      <c r="Q47" t="s">
        <v>74</v>
      </c>
      <c r="R47" t="s">
        <v>74</v>
      </c>
      <c r="S47" t="s">
        <v>74</v>
      </c>
      <c r="T47" t="s">
        <v>772</v>
      </c>
      <c r="U47" t="s">
        <v>773</v>
      </c>
      <c r="V47" t="s">
        <v>774</v>
      </c>
      <c r="W47" t="s">
        <v>775</v>
      </c>
      <c r="X47" t="s">
        <v>776</v>
      </c>
      <c r="Y47" t="s">
        <v>777</v>
      </c>
      <c r="Z47" t="s">
        <v>778</v>
      </c>
      <c r="AA47" t="s">
        <v>779</v>
      </c>
      <c r="AB47" t="s">
        <v>780</v>
      </c>
      <c r="AC47" t="s">
        <v>74</v>
      </c>
      <c r="AD47" t="s">
        <v>74</v>
      </c>
      <c r="AE47" t="s">
        <v>74</v>
      </c>
      <c r="AF47" t="s">
        <v>74</v>
      </c>
      <c r="AG47">
        <v>41</v>
      </c>
      <c r="AH47">
        <v>34</v>
      </c>
      <c r="AI47">
        <v>34</v>
      </c>
      <c r="AJ47">
        <v>0</v>
      </c>
      <c r="AK47">
        <v>3</v>
      </c>
      <c r="AL47" t="s">
        <v>519</v>
      </c>
      <c r="AM47" t="s">
        <v>520</v>
      </c>
      <c r="AN47" t="s">
        <v>521</v>
      </c>
      <c r="AO47" t="s">
        <v>761</v>
      </c>
      <c r="AP47" t="s">
        <v>762</v>
      </c>
      <c r="AQ47" t="s">
        <v>74</v>
      </c>
      <c r="AR47" t="s">
        <v>763</v>
      </c>
      <c r="AS47" t="s">
        <v>764</v>
      </c>
      <c r="AT47" t="s">
        <v>94</v>
      </c>
      <c r="AU47">
        <v>2006</v>
      </c>
      <c r="AV47">
        <v>10</v>
      </c>
      <c r="AW47" t="s">
        <v>765</v>
      </c>
      <c r="AX47" t="s">
        <v>74</v>
      </c>
      <c r="AY47" t="s">
        <v>74</v>
      </c>
      <c r="AZ47" t="s">
        <v>74</v>
      </c>
      <c r="BA47" t="s">
        <v>74</v>
      </c>
      <c r="BB47">
        <v>179</v>
      </c>
      <c r="BC47">
        <v>185</v>
      </c>
      <c r="BD47" t="s">
        <v>74</v>
      </c>
      <c r="BE47" t="s">
        <v>781</v>
      </c>
      <c r="BF47" t="str">
        <f>HYPERLINK("http://dx.doi.org/10.1016/j.gr.2005.11.021","http://dx.doi.org/10.1016/j.gr.2005.11.021")</f>
        <v>http://dx.doi.org/10.1016/j.gr.2005.11.021</v>
      </c>
      <c r="BG47" t="s">
        <v>74</v>
      </c>
      <c r="BH47" t="s">
        <v>74</v>
      </c>
      <c r="BI47">
        <v>7</v>
      </c>
      <c r="BJ47" t="s">
        <v>527</v>
      </c>
      <c r="BK47" t="s">
        <v>97</v>
      </c>
      <c r="BL47" t="s">
        <v>528</v>
      </c>
      <c r="BM47" t="s">
        <v>767</v>
      </c>
      <c r="BN47" t="s">
        <v>74</v>
      </c>
      <c r="BO47" t="s">
        <v>74</v>
      </c>
      <c r="BP47" t="s">
        <v>74</v>
      </c>
      <c r="BQ47" t="s">
        <v>74</v>
      </c>
      <c r="BR47" t="s">
        <v>100</v>
      </c>
      <c r="BS47" t="s">
        <v>782</v>
      </c>
      <c r="BT47" t="str">
        <f>HYPERLINK("https%3A%2F%2Fwww.webofscience.com%2Fwos%2Fwoscc%2Ffull-record%2FWOS:000239397700016","View Full Record in Web of Science")</f>
        <v>View Full Record in Web of Science</v>
      </c>
    </row>
    <row r="48" spans="1:72" x14ac:dyDescent="0.15">
      <c r="A48" t="s">
        <v>72</v>
      </c>
      <c r="B48" t="s">
        <v>783</v>
      </c>
      <c r="C48" t="s">
        <v>74</v>
      </c>
      <c r="D48" t="s">
        <v>74</v>
      </c>
      <c r="E48" t="s">
        <v>74</v>
      </c>
      <c r="F48" t="s">
        <v>784</v>
      </c>
      <c r="G48" t="s">
        <v>74</v>
      </c>
      <c r="H48" t="s">
        <v>74</v>
      </c>
      <c r="I48" t="s">
        <v>785</v>
      </c>
      <c r="J48" t="s">
        <v>786</v>
      </c>
      <c r="K48" t="s">
        <v>74</v>
      </c>
      <c r="L48" t="s">
        <v>74</v>
      </c>
      <c r="M48" t="s">
        <v>78</v>
      </c>
      <c r="N48" t="s">
        <v>79</v>
      </c>
      <c r="O48" t="s">
        <v>74</v>
      </c>
      <c r="P48" t="s">
        <v>74</v>
      </c>
      <c r="Q48" t="s">
        <v>74</v>
      </c>
      <c r="R48" t="s">
        <v>74</v>
      </c>
      <c r="S48" t="s">
        <v>74</v>
      </c>
      <c r="T48" t="s">
        <v>787</v>
      </c>
      <c r="U48" t="s">
        <v>788</v>
      </c>
      <c r="V48" t="s">
        <v>789</v>
      </c>
      <c r="W48" t="s">
        <v>790</v>
      </c>
      <c r="X48" t="s">
        <v>791</v>
      </c>
      <c r="Y48" t="s">
        <v>792</v>
      </c>
      <c r="Z48" t="s">
        <v>793</v>
      </c>
      <c r="AA48" t="s">
        <v>74</v>
      </c>
      <c r="AB48" t="s">
        <v>74</v>
      </c>
      <c r="AC48" t="s">
        <v>74</v>
      </c>
      <c r="AD48" t="s">
        <v>74</v>
      </c>
      <c r="AE48" t="s">
        <v>74</v>
      </c>
      <c r="AF48" t="s">
        <v>74</v>
      </c>
      <c r="AG48">
        <v>25</v>
      </c>
      <c r="AH48">
        <v>40</v>
      </c>
      <c r="AI48">
        <v>52</v>
      </c>
      <c r="AJ48">
        <v>0</v>
      </c>
      <c r="AK48">
        <v>22</v>
      </c>
      <c r="AL48" t="s">
        <v>794</v>
      </c>
      <c r="AM48" t="s">
        <v>795</v>
      </c>
      <c r="AN48" t="s">
        <v>796</v>
      </c>
      <c r="AO48" t="s">
        <v>797</v>
      </c>
      <c r="AP48" t="s">
        <v>798</v>
      </c>
      <c r="AQ48" t="s">
        <v>74</v>
      </c>
      <c r="AR48" t="s">
        <v>799</v>
      </c>
      <c r="AS48" t="s">
        <v>800</v>
      </c>
      <c r="AT48" t="s">
        <v>94</v>
      </c>
      <c r="AU48">
        <v>2006</v>
      </c>
      <c r="AV48">
        <v>44</v>
      </c>
      <c r="AW48">
        <v>8</v>
      </c>
      <c r="AX48" t="s">
        <v>74</v>
      </c>
      <c r="AY48" t="s">
        <v>74</v>
      </c>
      <c r="AZ48" t="s">
        <v>74</v>
      </c>
      <c r="BA48" t="s">
        <v>74</v>
      </c>
      <c r="BB48">
        <v>2152</v>
      </c>
      <c r="BC48">
        <v>2163</v>
      </c>
      <c r="BD48" t="s">
        <v>74</v>
      </c>
      <c r="BE48" t="s">
        <v>801</v>
      </c>
      <c r="BF48" t="str">
        <f>HYPERLINK("http://dx.doi.org/10.1109/TGRS.2006.872132","http://dx.doi.org/10.1109/TGRS.2006.872132")</f>
        <v>http://dx.doi.org/10.1109/TGRS.2006.872132</v>
      </c>
      <c r="BG48" t="s">
        <v>74</v>
      </c>
      <c r="BH48" t="s">
        <v>74</v>
      </c>
      <c r="BI48">
        <v>12</v>
      </c>
      <c r="BJ48" t="s">
        <v>802</v>
      </c>
      <c r="BK48" t="s">
        <v>97</v>
      </c>
      <c r="BL48" t="s">
        <v>803</v>
      </c>
      <c r="BM48" t="s">
        <v>804</v>
      </c>
      <c r="BN48" t="s">
        <v>74</v>
      </c>
      <c r="BO48" t="s">
        <v>74</v>
      </c>
      <c r="BP48" t="s">
        <v>74</v>
      </c>
      <c r="BQ48" t="s">
        <v>74</v>
      </c>
      <c r="BR48" t="s">
        <v>100</v>
      </c>
      <c r="BS48" t="s">
        <v>805</v>
      </c>
      <c r="BT48" t="str">
        <f>HYPERLINK("https%3A%2F%2Fwww.webofscience.com%2Fwos%2Fwoscc%2Ffull-record%2FWOS:000239404000014","View Full Record in Web of Science")</f>
        <v>View Full Record in Web of Science</v>
      </c>
    </row>
    <row r="49" spans="1:72" x14ac:dyDescent="0.15">
      <c r="A49" t="s">
        <v>72</v>
      </c>
      <c r="B49" t="s">
        <v>806</v>
      </c>
      <c r="C49" t="s">
        <v>74</v>
      </c>
      <c r="D49" t="s">
        <v>74</v>
      </c>
      <c r="E49" t="s">
        <v>74</v>
      </c>
      <c r="F49" t="s">
        <v>807</v>
      </c>
      <c r="G49" t="s">
        <v>74</v>
      </c>
      <c r="H49" t="s">
        <v>74</v>
      </c>
      <c r="I49" t="s">
        <v>808</v>
      </c>
      <c r="J49" t="s">
        <v>809</v>
      </c>
      <c r="K49" t="s">
        <v>74</v>
      </c>
      <c r="L49" t="s">
        <v>74</v>
      </c>
      <c r="M49" t="s">
        <v>78</v>
      </c>
      <c r="N49" t="s">
        <v>79</v>
      </c>
      <c r="O49" t="s">
        <v>74</v>
      </c>
      <c r="P49" t="s">
        <v>74</v>
      </c>
      <c r="Q49" t="s">
        <v>74</v>
      </c>
      <c r="R49" t="s">
        <v>74</v>
      </c>
      <c r="S49" t="s">
        <v>74</v>
      </c>
      <c r="T49" t="s">
        <v>74</v>
      </c>
      <c r="U49" t="s">
        <v>810</v>
      </c>
      <c r="V49" t="s">
        <v>811</v>
      </c>
      <c r="W49" t="s">
        <v>812</v>
      </c>
      <c r="X49" t="s">
        <v>813</v>
      </c>
      <c r="Y49" t="s">
        <v>814</v>
      </c>
      <c r="Z49" t="s">
        <v>815</v>
      </c>
      <c r="AA49" t="s">
        <v>816</v>
      </c>
      <c r="AB49" t="s">
        <v>817</v>
      </c>
      <c r="AC49" t="s">
        <v>74</v>
      </c>
      <c r="AD49" t="s">
        <v>74</v>
      </c>
      <c r="AE49" t="s">
        <v>74</v>
      </c>
      <c r="AF49" t="s">
        <v>74</v>
      </c>
      <c r="AG49">
        <v>17</v>
      </c>
      <c r="AH49">
        <v>55</v>
      </c>
      <c r="AI49">
        <v>56</v>
      </c>
      <c r="AJ49">
        <v>0</v>
      </c>
      <c r="AK49">
        <v>19</v>
      </c>
      <c r="AL49" t="s">
        <v>818</v>
      </c>
      <c r="AM49" t="s">
        <v>819</v>
      </c>
      <c r="AN49" t="s">
        <v>820</v>
      </c>
      <c r="AO49" t="s">
        <v>821</v>
      </c>
      <c r="AP49" t="s">
        <v>74</v>
      </c>
      <c r="AQ49" t="s">
        <v>74</v>
      </c>
      <c r="AR49" t="s">
        <v>822</v>
      </c>
      <c r="AS49" t="s">
        <v>823</v>
      </c>
      <c r="AT49" t="s">
        <v>94</v>
      </c>
      <c r="AU49">
        <v>2006</v>
      </c>
      <c r="AV49">
        <v>56</v>
      </c>
      <c r="AW49" t="s">
        <v>74</v>
      </c>
      <c r="AX49">
        <v>8</v>
      </c>
      <c r="AY49" t="s">
        <v>74</v>
      </c>
      <c r="AZ49" t="s">
        <v>74</v>
      </c>
      <c r="BA49" t="s">
        <v>74</v>
      </c>
      <c r="BB49">
        <v>1755</v>
      </c>
      <c r="BC49">
        <v>1759</v>
      </c>
      <c r="BD49" t="s">
        <v>74</v>
      </c>
      <c r="BE49" t="s">
        <v>824</v>
      </c>
      <c r="BF49" t="str">
        <f>HYPERLINK("http://dx.doi.org/10.1099/ijs.0.64131-0","http://dx.doi.org/10.1099/ijs.0.64131-0")</f>
        <v>http://dx.doi.org/10.1099/ijs.0.64131-0</v>
      </c>
      <c r="BG49" t="s">
        <v>74</v>
      </c>
      <c r="BH49" t="s">
        <v>74</v>
      </c>
      <c r="BI49">
        <v>5</v>
      </c>
      <c r="BJ49" t="s">
        <v>587</v>
      </c>
      <c r="BK49" t="s">
        <v>97</v>
      </c>
      <c r="BL49" t="s">
        <v>587</v>
      </c>
      <c r="BM49" t="s">
        <v>825</v>
      </c>
      <c r="BN49">
        <v>16902003</v>
      </c>
      <c r="BO49" t="s">
        <v>460</v>
      </c>
      <c r="BP49" t="s">
        <v>74</v>
      </c>
      <c r="BQ49" t="s">
        <v>74</v>
      </c>
      <c r="BR49" t="s">
        <v>100</v>
      </c>
      <c r="BS49" t="s">
        <v>826</v>
      </c>
      <c r="BT49" t="str">
        <f>HYPERLINK("https%3A%2F%2Fwww.webofscience.com%2Fwos%2Fwoscc%2Ffull-record%2FWOS:000240185200006","View Full Record in Web of Science")</f>
        <v>View Full Record in Web of Science</v>
      </c>
    </row>
    <row r="50" spans="1:72" x14ac:dyDescent="0.15">
      <c r="A50" t="s">
        <v>72</v>
      </c>
      <c r="B50" t="s">
        <v>827</v>
      </c>
      <c r="C50" t="s">
        <v>74</v>
      </c>
      <c r="D50" t="s">
        <v>74</v>
      </c>
      <c r="E50" t="s">
        <v>74</v>
      </c>
      <c r="F50" t="s">
        <v>828</v>
      </c>
      <c r="G50" t="s">
        <v>74</v>
      </c>
      <c r="H50" t="s">
        <v>74</v>
      </c>
      <c r="I50" t="s">
        <v>829</v>
      </c>
      <c r="J50" t="s">
        <v>830</v>
      </c>
      <c r="K50" t="s">
        <v>74</v>
      </c>
      <c r="L50" t="s">
        <v>74</v>
      </c>
      <c r="M50" t="s">
        <v>78</v>
      </c>
      <c r="N50" t="s">
        <v>79</v>
      </c>
      <c r="O50" t="s">
        <v>74</v>
      </c>
      <c r="P50" t="s">
        <v>74</v>
      </c>
      <c r="Q50" t="s">
        <v>74</v>
      </c>
      <c r="R50" t="s">
        <v>74</v>
      </c>
      <c r="S50" t="s">
        <v>74</v>
      </c>
      <c r="T50" t="s">
        <v>831</v>
      </c>
      <c r="U50" t="s">
        <v>832</v>
      </c>
      <c r="V50" t="s">
        <v>833</v>
      </c>
      <c r="W50" t="s">
        <v>834</v>
      </c>
      <c r="X50" t="s">
        <v>835</v>
      </c>
      <c r="Y50" t="s">
        <v>836</v>
      </c>
      <c r="Z50" t="s">
        <v>837</v>
      </c>
      <c r="AA50" t="s">
        <v>838</v>
      </c>
      <c r="AB50" t="s">
        <v>839</v>
      </c>
      <c r="AC50" t="s">
        <v>74</v>
      </c>
      <c r="AD50" t="s">
        <v>74</v>
      </c>
      <c r="AE50" t="s">
        <v>74</v>
      </c>
      <c r="AF50" t="s">
        <v>74</v>
      </c>
      <c r="AG50">
        <v>45</v>
      </c>
      <c r="AH50">
        <v>23</v>
      </c>
      <c r="AI50">
        <v>26</v>
      </c>
      <c r="AJ50">
        <v>2</v>
      </c>
      <c r="AK50">
        <v>76</v>
      </c>
      <c r="AL50" t="s">
        <v>840</v>
      </c>
      <c r="AM50" t="s">
        <v>388</v>
      </c>
      <c r="AN50" t="s">
        <v>841</v>
      </c>
      <c r="AO50" t="s">
        <v>842</v>
      </c>
      <c r="AP50" t="s">
        <v>74</v>
      </c>
      <c r="AQ50" t="s">
        <v>74</v>
      </c>
      <c r="AR50" t="s">
        <v>843</v>
      </c>
      <c r="AS50" t="s">
        <v>844</v>
      </c>
      <c r="AT50" t="s">
        <v>94</v>
      </c>
      <c r="AU50">
        <v>2006</v>
      </c>
      <c r="AV50">
        <v>209</v>
      </c>
      <c r="AW50">
        <v>2</v>
      </c>
      <c r="AX50" t="s">
        <v>74</v>
      </c>
      <c r="AY50" t="s">
        <v>74</v>
      </c>
      <c r="AZ50" t="s">
        <v>74</v>
      </c>
      <c r="BA50" t="s">
        <v>74</v>
      </c>
      <c r="BB50">
        <v>179</v>
      </c>
      <c r="BC50">
        <v>199</v>
      </c>
      <c r="BD50" t="s">
        <v>74</v>
      </c>
      <c r="BE50" t="s">
        <v>845</v>
      </c>
      <c r="BF50" t="str">
        <f>HYPERLINK("http://dx.doi.org/10.1111/j.1469-7580.2006.00591.x","http://dx.doi.org/10.1111/j.1469-7580.2006.00591.x")</f>
        <v>http://dx.doi.org/10.1111/j.1469-7580.2006.00591.x</v>
      </c>
      <c r="BG50" t="s">
        <v>74</v>
      </c>
      <c r="BH50" t="s">
        <v>74</v>
      </c>
      <c r="BI50">
        <v>21</v>
      </c>
      <c r="BJ50" t="s">
        <v>846</v>
      </c>
      <c r="BK50" t="s">
        <v>97</v>
      </c>
      <c r="BL50" t="s">
        <v>846</v>
      </c>
      <c r="BM50" t="s">
        <v>847</v>
      </c>
      <c r="BN50">
        <v>16879598</v>
      </c>
      <c r="BO50" t="s">
        <v>99</v>
      </c>
      <c r="BP50" t="s">
        <v>74</v>
      </c>
      <c r="BQ50" t="s">
        <v>74</v>
      </c>
      <c r="BR50" t="s">
        <v>100</v>
      </c>
      <c r="BS50" t="s">
        <v>848</v>
      </c>
      <c r="BT50" t="str">
        <f>HYPERLINK("https%3A%2F%2Fwww.webofscience.com%2Fwos%2Fwoscc%2Ffull-record%2FWOS:000239334200005","View Full Record in Web of Science")</f>
        <v>View Full Record in Web of Science</v>
      </c>
    </row>
    <row r="51" spans="1:72" x14ac:dyDescent="0.15">
      <c r="A51" t="s">
        <v>72</v>
      </c>
      <c r="B51" t="s">
        <v>849</v>
      </c>
      <c r="C51" t="s">
        <v>74</v>
      </c>
      <c r="D51" t="s">
        <v>74</v>
      </c>
      <c r="E51" t="s">
        <v>74</v>
      </c>
      <c r="F51" t="s">
        <v>850</v>
      </c>
      <c r="G51" t="s">
        <v>74</v>
      </c>
      <c r="H51" t="s">
        <v>74</v>
      </c>
      <c r="I51" t="s">
        <v>851</v>
      </c>
      <c r="J51" t="s">
        <v>852</v>
      </c>
      <c r="K51" t="s">
        <v>74</v>
      </c>
      <c r="L51" t="s">
        <v>74</v>
      </c>
      <c r="M51" t="s">
        <v>78</v>
      </c>
      <c r="N51" t="s">
        <v>511</v>
      </c>
      <c r="O51" t="s">
        <v>74</v>
      </c>
      <c r="P51" t="s">
        <v>74</v>
      </c>
      <c r="Q51" t="s">
        <v>74</v>
      </c>
      <c r="R51" t="s">
        <v>74</v>
      </c>
      <c r="S51" t="s">
        <v>74</v>
      </c>
      <c r="T51" t="s">
        <v>74</v>
      </c>
      <c r="U51" t="s">
        <v>853</v>
      </c>
      <c r="V51" t="s">
        <v>854</v>
      </c>
      <c r="W51" t="s">
        <v>855</v>
      </c>
      <c r="X51" t="s">
        <v>856</v>
      </c>
      <c r="Y51" t="s">
        <v>857</v>
      </c>
      <c r="Z51" t="s">
        <v>858</v>
      </c>
      <c r="AA51" t="s">
        <v>859</v>
      </c>
      <c r="AB51" t="s">
        <v>860</v>
      </c>
      <c r="AC51" t="s">
        <v>74</v>
      </c>
      <c r="AD51" t="s">
        <v>74</v>
      </c>
      <c r="AE51" t="s">
        <v>74</v>
      </c>
      <c r="AF51" t="s">
        <v>74</v>
      </c>
      <c r="AG51">
        <v>125</v>
      </c>
      <c r="AH51">
        <v>104</v>
      </c>
      <c r="AI51">
        <v>118</v>
      </c>
      <c r="AJ51">
        <v>1</v>
      </c>
      <c r="AK51">
        <v>30</v>
      </c>
      <c r="AL51" t="s">
        <v>861</v>
      </c>
      <c r="AM51" t="s">
        <v>862</v>
      </c>
      <c r="AN51" t="s">
        <v>863</v>
      </c>
      <c r="AO51" t="s">
        <v>864</v>
      </c>
      <c r="AP51" t="s">
        <v>865</v>
      </c>
      <c r="AQ51" t="s">
        <v>74</v>
      </c>
      <c r="AR51" t="s">
        <v>866</v>
      </c>
      <c r="AS51" t="s">
        <v>867</v>
      </c>
      <c r="AT51" t="s">
        <v>94</v>
      </c>
      <c r="AU51">
        <v>2006</v>
      </c>
      <c r="AV51">
        <v>19</v>
      </c>
      <c r="AW51">
        <v>15</v>
      </c>
      <c r="AX51" t="s">
        <v>74</v>
      </c>
      <c r="AY51" t="s">
        <v>74</v>
      </c>
      <c r="AZ51" t="s">
        <v>74</v>
      </c>
      <c r="BA51" t="s">
        <v>74</v>
      </c>
      <c r="BB51">
        <v>3544</v>
      </c>
      <c r="BC51">
        <v>3571</v>
      </c>
      <c r="BD51" t="s">
        <v>74</v>
      </c>
      <c r="BE51" t="s">
        <v>868</v>
      </c>
      <c r="BF51" t="str">
        <f>HYPERLINK("http://dx.doi.org/10.1175/JCLI3805.1","http://dx.doi.org/10.1175/JCLI3805.1")</f>
        <v>http://dx.doi.org/10.1175/JCLI3805.1</v>
      </c>
      <c r="BG51" t="s">
        <v>74</v>
      </c>
      <c r="BH51" t="s">
        <v>74</v>
      </c>
      <c r="BI51">
        <v>28</v>
      </c>
      <c r="BJ51" t="s">
        <v>869</v>
      </c>
      <c r="BK51" t="s">
        <v>97</v>
      </c>
      <c r="BL51" t="s">
        <v>869</v>
      </c>
      <c r="BM51" t="s">
        <v>870</v>
      </c>
      <c r="BN51" t="s">
        <v>74</v>
      </c>
      <c r="BO51" t="s">
        <v>871</v>
      </c>
      <c r="BP51" t="s">
        <v>74</v>
      </c>
      <c r="BQ51" t="s">
        <v>74</v>
      </c>
      <c r="BR51" t="s">
        <v>100</v>
      </c>
      <c r="BS51" t="s">
        <v>872</v>
      </c>
      <c r="BT51" t="str">
        <f>HYPERLINK("https%3A%2F%2Fwww.webofscience.com%2Fwos%2Fwoscc%2Ffull-record%2FWOS:000239943100004","View Full Record in Web of Science")</f>
        <v>View Full Record in Web of Science</v>
      </c>
    </row>
    <row r="52" spans="1:72" x14ac:dyDescent="0.15">
      <c r="A52" t="s">
        <v>72</v>
      </c>
      <c r="B52" t="s">
        <v>873</v>
      </c>
      <c r="C52" t="s">
        <v>74</v>
      </c>
      <c r="D52" t="s">
        <v>74</v>
      </c>
      <c r="E52" t="s">
        <v>74</v>
      </c>
      <c r="F52" t="s">
        <v>874</v>
      </c>
      <c r="G52" t="s">
        <v>74</v>
      </c>
      <c r="H52" t="s">
        <v>74</v>
      </c>
      <c r="I52" t="s">
        <v>875</v>
      </c>
      <c r="J52" t="s">
        <v>852</v>
      </c>
      <c r="K52" t="s">
        <v>74</v>
      </c>
      <c r="L52" t="s">
        <v>74</v>
      </c>
      <c r="M52" t="s">
        <v>78</v>
      </c>
      <c r="N52" t="s">
        <v>79</v>
      </c>
      <c r="O52" t="s">
        <v>74</v>
      </c>
      <c r="P52" t="s">
        <v>74</v>
      </c>
      <c r="Q52" t="s">
        <v>74</v>
      </c>
      <c r="R52" t="s">
        <v>74</v>
      </c>
      <c r="S52" t="s">
        <v>74</v>
      </c>
      <c r="T52" t="s">
        <v>74</v>
      </c>
      <c r="U52" t="s">
        <v>876</v>
      </c>
      <c r="V52" t="s">
        <v>877</v>
      </c>
      <c r="W52" t="s">
        <v>878</v>
      </c>
      <c r="X52" t="s">
        <v>879</v>
      </c>
      <c r="Y52" t="s">
        <v>880</v>
      </c>
      <c r="Z52" t="s">
        <v>881</v>
      </c>
      <c r="AA52" t="s">
        <v>882</v>
      </c>
      <c r="AB52" t="s">
        <v>883</v>
      </c>
      <c r="AC52" t="s">
        <v>74</v>
      </c>
      <c r="AD52" t="s">
        <v>74</v>
      </c>
      <c r="AE52" t="s">
        <v>74</v>
      </c>
      <c r="AF52" t="s">
        <v>74</v>
      </c>
      <c r="AG52">
        <v>78</v>
      </c>
      <c r="AH52">
        <v>669</v>
      </c>
      <c r="AI52">
        <v>706</v>
      </c>
      <c r="AJ52">
        <v>0</v>
      </c>
      <c r="AK52">
        <v>90</v>
      </c>
      <c r="AL52" t="s">
        <v>861</v>
      </c>
      <c r="AM52" t="s">
        <v>862</v>
      </c>
      <c r="AN52" t="s">
        <v>863</v>
      </c>
      <c r="AO52" t="s">
        <v>864</v>
      </c>
      <c r="AP52" t="s">
        <v>865</v>
      </c>
      <c r="AQ52" t="s">
        <v>74</v>
      </c>
      <c r="AR52" t="s">
        <v>866</v>
      </c>
      <c r="AS52" t="s">
        <v>867</v>
      </c>
      <c r="AT52" t="s">
        <v>94</v>
      </c>
      <c r="AU52">
        <v>2006</v>
      </c>
      <c r="AV52">
        <v>19</v>
      </c>
      <c r="AW52">
        <v>16</v>
      </c>
      <c r="AX52" t="s">
        <v>74</v>
      </c>
      <c r="AY52" t="s">
        <v>74</v>
      </c>
      <c r="AZ52" t="s">
        <v>74</v>
      </c>
      <c r="BA52" t="s">
        <v>74</v>
      </c>
      <c r="BB52">
        <v>3952</v>
      </c>
      <c r="BC52">
        <v>3972</v>
      </c>
      <c r="BD52" t="s">
        <v>74</v>
      </c>
      <c r="BE52" t="s">
        <v>884</v>
      </c>
      <c r="BF52" t="str">
        <f>HYPERLINK("http://dx.doi.org/10.1175/JCLI3827.1","http://dx.doi.org/10.1175/JCLI3827.1")</f>
        <v>http://dx.doi.org/10.1175/JCLI3827.1</v>
      </c>
      <c r="BG52" t="s">
        <v>74</v>
      </c>
      <c r="BH52" t="s">
        <v>74</v>
      </c>
      <c r="BI52">
        <v>21</v>
      </c>
      <c r="BJ52" t="s">
        <v>869</v>
      </c>
      <c r="BK52" t="s">
        <v>97</v>
      </c>
      <c r="BL52" t="s">
        <v>869</v>
      </c>
      <c r="BM52" t="s">
        <v>885</v>
      </c>
      <c r="BN52" t="s">
        <v>74</v>
      </c>
      <c r="BO52" t="s">
        <v>886</v>
      </c>
      <c r="BP52" t="s">
        <v>74</v>
      </c>
      <c r="BQ52" t="s">
        <v>74</v>
      </c>
      <c r="BR52" t="s">
        <v>100</v>
      </c>
      <c r="BS52" t="s">
        <v>887</v>
      </c>
      <c r="BT52" t="str">
        <f>HYPERLINK("https%3A%2F%2Fwww.webofscience.com%2Fwos%2Fwoscc%2Ffull-record%2FWOS:000240228000011","View Full Record in Web of Science")</f>
        <v>View Full Record in Web of Science</v>
      </c>
    </row>
    <row r="53" spans="1:72" x14ac:dyDescent="0.15">
      <c r="A53" t="s">
        <v>72</v>
      </c>
      <c r="B53" t="s">
        <v>888</v>
      </c>
      <c r="C53" t="s">
        <v>74</v>
      </c>
      <c r="D53" t="s">
        <v>74</v>
      </c>
      <c r="E53" t="s">
        <v>74</v>
      </c>
      <c r="F53" t="s">
        <v>889</v>
      </c>
      <c r="G53" t="s">
        <v>74</v>
      </c>
      <c r="H53" t="s">
        <v>74</v>
      </c>
      <c r="I53" t="s">
        <v>890</v>
      </c>
      <c r="J53" t="s">
        <v>852</v>
      </c>
      <c r="K53" t="s">
        <v>74</v>
      </c>
      <c r="L53" t="s">
        <v>74</v>
      </c>
      <c r="M53" t="s">
        <v>78</v>
      </c>
      <c r="N53" t="s">
        <v>79</v>
      </c>
      <c r="O53" t="s">
        <v>74</v>
      </c>
      <c r="P53" t="s">
        <v>74</v>
      </c>
      <c r="Q53" t="s">
        <v>74</v>
      </c>
      <c r="R53" t="s">
        <v>74</v>
      </c>
      <c r="S53" t="s">
        <v>74</v>
      </c>
      <c r="T53" t="s">
        <v>74</v>
      </c>
      <c r="U53" t="s">
        <v>891</v>
      </c>
      <c r="V53" t="s">
        <v>892</v>
      </c>
      <c r="W53" t="s">
        <v>893</v>
      </c>
      <c r="X53" t="s">
        <v>894</v>
      </c>
      <c r="Y53" t="s">
        <v>895</v>
      </c>
      <c r="Z53" t="s">
        <v>896</v>
      </c>
      <c r="AA53" t="s">
        <v>897</v>
      </c>
      <c r="AB53" t="s">
        <v>898</v>
      </c>
      <c r="AC53" t="s">
        <v>74</v>
      </c>
      <c r="AD53" t="s">
        <v>74</v>
      </c>
      <c r="AE53" t="s">
        <v>74</v>
      </c>
      <c r="AF53" t="s">
        <v>74</v>
      </c>
      <c r="AG53">
        <v>29</v>
      </c>
      <c r="AH53">
        <v>13</v>
      </c>
      <c r="AI53">
        <v>13</v>
      </c>
      <c r="AJ53">
        <v>0</v>
      </c>
      <c r="AK53">
        <v>3</v>
      </c>
      <c r="AL53" t="s">
        <v>861</v>
      </c>
      <c r="AM53" t="s">
        <v>862</v>
      </c>
      <c r="AN53" t="s">
        <v>899</v>
      </c>
      <c r="AO53" t="s">
        <v>864</v>
      </c>
      <c r="AP53" t="s">
        <v>865</v>
      </c>
      <c r="AQ53" t="s">
        <v>74</v>
      </c>
      <c r="AR53" t="s">
        <v>866</v>
      </c>
      <c r="AS53" t="s">
        <v>867</v>
      </c>
      <c r="AT53" t="s">
        <v>94</v>
      </c>
      <c r="AU53">
        <v>2006</v>
      </c>
      <c r="AV53">
        <v>19</v>
      </c>
      <c r="AW53">
        <v>16</v>
      </c>
      <c r="AX53" t="s">
        <v>74</v>
      </c>
      <c r="AY53" t="s">
        <v>74</v>
      </c>
      <c r="AZ53" t="s">
        <v>74</v>
      </c>
      <c r="BA53" t="s">
        <v>74</v>
      </c>
      <c r="BB53">
        <v>4075</v>
      </c>
      <c r="BC53">
        <v>4086</v>
      </c>
      <c r="BD53" t="s">
        <v>74</v>
      </c>
      <c r="BE53" t="s">
        <v>900</v>
      </c>
      <c r="BF53" t="str">
        <f>HYPERLINK("http://dx.doi.org/10.1175/JCLI3845.1","http://dx.doi.org/10.1175/JCLI3845.1")</f>
        <v>http://dx.doi.org/10.1175/JCLI3845.1</v>
      </c>
      <c r="BG53" t="s">
        <v>74</v>
      </c>
      <c r="BH53" t="s">
        <v>74</v>
      </c>
      <c r="BI53">
        <v>12</v>
      </c>
      <c r="BJ53" t="s">
        <v>869</v>
      </c>
      <c r="BK53" t="s">
        <v>97</v>
      </c>
      <c r="BL53" t="s">
        <v>869</v>
      </c>
      <c r="BM53" t="s">
        <v>885</v>
      </c>
      <c r="BN53" t="s">
        <v>74</v>
      </c>
      <c r="BO53" t="s">
        <v>901</v>
      </c>
      <c r="BP53" t="s">
        <v>74</v>
      </c>
      <c r="BQ53" t="s">
        <v>74</v>
      </c>
      <c r="BR53" t="s">
        <v>100</v>
      </c>
      <c r="BS53" t="s">
        <v>902</v>
      </c>
      <c r="BT53" t="str">
        <f>HYPERLINK("https%3A%2F%2Fwww.webofscience.com%2Fwos%2Fwoscc%2Ffull-record%2FWOS:000240228000018","View Full Record in Web of Science")</f>
        <v>View Full Record in Web of Science</v>
      </c>
    </row>
    <row r="54" spans="1:72" x14ac:dyDescent="0.15">
      <c r="A54" t="s">
        <v>72</v>
      </c>
      <c r="B54" t="s">
        <v>903</v>
      </c>
      <c r="C54" t="s">
        <v>74</v>
      </c>
      <c r="D54" t="s">
        <v>74</v>
      </c>
      <c r="E54" t="s">
        <v>74</v>
      </c>
      <c r="F54" t="s">
        <v>904</v>
      </c>
      <c r="G54" t="s">
        <v>74</v>
      </c>
      <c r="H54" t="s">
        <v>74</v>
      </c>
      <c r="I54" t="s">
        <v>905</v>
      </c>
      <c r="J54" t="s">
        <v>906</v>
      </c>
      <c r="K54" t="s">
        <v>74</v>
      </c>
      <c r="L54" t="s">
        <v>74</v>
      </c>
      <c r="M54" t="s">
        <v>78</v>
      </c>
      <c r="N54" t="s">
        <v>79</v>
      </c>
      <c r="O54" t="s">
        <v>74</v>
      </c>
      <c r="P54" t="s">
        <v>74</v>
      </c>
      <c r="Q54" t="s">
        <v>74</v>
      </c>
      <c r="R54" t="s">
        <v>74</v>
      </c>
      <c r="S54" t="s">
        <v>74</v>
      </c>
      <c r="T54" t="s">
        <v>907</v>
      </c>
      <c r="U54" t="s">
        <v>908</v>
      </c>
      <c r="V54" t="s">
        <v>909</v>
      </c>
      <c r="W54" t="s">
        <v>910</v>
      </c>
      <c r="X54" t="s">
        <v>911</v>
      </c>
      <c r="Y54" t="s">
        <v>912</v>
      </c>
      <c r="Z54" t="s">
        <v>913</v>
      </c>
      <c r="AA54" t="s">
        <v>74</v>
      </c>
      <c r="AB54" t="s">
        <v>74</v>
      </c>
      <c r="AC54" t="s">
        <v>74</v>
      </c>
      <c r="AD54" t="s">
        <v>74</v>
      </c>
      <c r="AE54" t="s">
        <v>74</v>
      </c>
      <c r="AF54" t="s">
        <v>74</v>
      </c>
      <c r="AG54">
        <v>52</v>
      </c>
      <c r="AH54">
        <v>13</v>
      </c>
      <c r="AI54">
        <v>14</v>
      </c>
      <c r="AJ54">
        <v>0</v>
      </c>
      <c r="AK54">
        <v>9</v>
      </c>
      <c r="AL54" t="s">
        <v>914</v>
      </c>
      <c r="AM54" t="s">
        <v>915</v>
      </c>
      <c r="AN54" t="s">
        <v>916</v>
      </c>
      <c r="AO54" t="s">
        <v>917</v>
      </c>
      <c r="AP54" t="s">
        <v>918</v>
      </c>
      <c r="AQ54" t="s">
        <v>74</v>
      </c>
      <c r="AR54" t="s">
        <v>919</v>
      </c>
      <c r="AS54" t="s">
        <v>920</v>
      </c>
      <c r="AT54" t="s">
        <v>94</v>
      </c>
      <c r="AU54">
        <v>2006</v>
      </c>
      <c r="AV54">
        <v>115</v>
      </c>
      <c r="AW54">
        <v>4</v>
      </c>
      <c r="AX54" t="s">
        <v>74</v>
      </c>
      <c r="AY54" t="s">
        <v>74</v>
      </c>
      <c r="AZ54" t="s">
        <v>74</v>
      </c>
      <c r="BA54" t="s">
        <v>74</v>
      </c>
      <c r="BB54">
        <v>415</v>
      </c>
      <c r="BC54">
        <v>428</v>
      </c>
      <c r="BD54" t="s">
        <v>74</v>
      </c>
      <c r="BE54" t="s">
        <v>74</v>
      </c>
      <c r="BF54" t="s">
        <v>74</v>
      </c>
      <c r="BG54" t="s">
        <v>74</v>
      </c>
      <c r="BH54" t="s">
        <v>74</v>
      </c>
      <c r="BI54">
        <v>14</v>
      </c>
      <c r="BJ54" t="s">
        <v>921</v>
      </c>
      <c r="BK54" t="s">
        <v>97</v>
      </c>
      <c r="BL54" t="s">
        <v>922</v>
      </c>
      <c r="BM54" t="s">
        <v>923</v>
      </c>
      <c r="BN54" t="s">
        <v>74</v>
      </c>
      <c r="BO54" t="s">
        <v>460</v>
      </c>
      <c r="BP54" t="s">
        <v>74</v>
      </c>
      <c r="BQ54" t="s">
        <v>74</v>
      </c>
      <c r="BR54" t="s">
        <v>100</v>
      </c>
      <c r="BS54" t="s">
        <v>924</v>
      </c>
      <c r="BT54" t="str">
        <f>HYPERLINK("https%3A%2F%2Fwww.webofscience.com%2Fwos%2Fwoscc%2Ffull-record%2FWOS:000239975100004","View Full Record in Web of Science")</f>
        <v>View Full Record in Web of Science</v>
      </c>
    </row>
    <row r="55" spans="1:72" x14ac:dyDescent="0.15">
      <c r="A55" t="s">
        <v>72</v>
      </c>
      <c r="B55" t="s">
        <v>925</v>
      </c>
      <c r="C55" t="s">
        <v>74</v>
      </c>
      <c r="D55" t="s">
        <v>74</v>
      </c>
      <c r="E55" t="s">
        <v>74</v>
      </c>
      <c r="F55" t="s">
        <v>926</v>
      </c>
      <c r="G55" t="s">
        <v>74</v>
      </c>
      <c r="H55" t="s">
        <v>74</v>
      </c>
      <c r="I55" t="s">
        <v>927</v>
      </c>
      <c r="J55" t="s">
        <v>928</v>
      </c>
      <c r="K55" t="s">
        <v>74</v>
      </c>
      <c r="L55" t="s">
        <v>74</v>
      </c>
      <c r="M55" t="s">
        <v>78</v>
      </c>
      <c r="N55" t="s">
        <v>79</v>
      </c>
      <c r="O55" t="s">
        <v>74</v>
      </c>
      <c r="P55" t="s">
        <v>74</v>
      </c>
      <c r="Q55" t="s">
        <v>74</v>
      </c>
      <c r="R55" t="s">
        <v>74</v>
      </c>
      <c r="S55" t="s">
        <v>74</v>
      </c>
      <c r="T55" t="s">
        <v>74</v>
      </c>
      <c r="U55" t="s">
        <v>929</v>
      </c>
      <c r="V55" t="s">
        <v>930</v>
      </c>
      <c r="W55" t="s">
        <v>931</v>
      </c>
      <c r="X55" t="s">
        <v>932</v>
      </c>
      <c r="Y55" t="s">
        <v>933</v>
      </c>
      <c r="Z55" t="s">
        <v>934</v>
      </c>
      <c r="AA55" t="s">
        <v>935</v>
      </c>
      <c r="AB55" t="s">
        <v>936</v>
      </c>
      <c r="AC55" t="s">
        <v>74</v>
      </c>
      <c r="AD55" t="s">
        <v>74</v>
      </c>
      <c r="AE55" t="s">
        <v>74</v>
      </c>
      <c r="AF55" t="s">
        <v>74</v>
      </c>
      <c r="AG55">
        <v>56</v>
      </c>
      <c r="AH55">
        <v>63</v>
      </c>
      <c r="AI55">
        <v>65</v>
      </c>
      <c r="AJ55">
        <v>1</v>
      </c>
      <c r="AK55">
        <v>20</v>
      </c>
      <c r="AL55" t="s">
        <v>861</v>
      </c>
      <c r="AM55" t="s">
        <v>862</v>
      </c>
      <c r="AN55" t="s">
        <v>863</v>
      </c>
      <c r="AO55" t="s">
        <v>937</v>
      </c>
      <c r="AP55" t="s">
        <v>938</v>
      </c>
      <c r="AQ55" t="s">
        <v>74</v>
      </c>
      <c r="AR55" t="s">
        <v>939</v>
      </c>
      <c r="AS55" t="s">
        <v>940</v>
      </c>
      <c r="AT55" t="s">
        <v>94</v>
      </c>
      <c r="AU55">
        <v>2006</v>
      </c>
      <c r="AV55">
        <v>7</v>
      </c>
      <c r="AW55">
        <v>4</v>
      </c>
      <c r="AX55" t="s">
        <v>74</v>
      </c>
      <c r="AY55" t="s">
        <v>74</v>
      </c>
      <c r="AZ55" t="s">
        <v>74</v>
      </c>
      <c r="BA55" t="s">
        <v>74</v>
      </c>
      <c r="BB55">
        <v>808</v>
      </c>
      <c r="BC55">
        <v>824</v>
      </c>
      <c r="BD55" t="s">
        <v>74</v>
      </c>
      <c r="BE55" t="s">
        <v>941</v>
      </c>
      <c r="BF55" t="str">
        <f>HYPERLINK("http://dx.doi.org/10.1175/JHM522.1","http://dx.doi.org/10.1175/JHM522.1")</f>
        <v>http://dx.doi.org/10.1175/JHM522.1</v>
      </c>
      <c r="BG55" t="s">
        <v>74</v>
      </c>
      <c r="BH55" t="s">
        <v>74</v>
      </c>
      <c r="BI55">
        <v>17</v>
      </c>
      <c r="BJ55" t="s">
        <v>869</v>
      </c>
      <c r="BK55" t="s">
        <v>97</v>
      </c>
      <c r="BL55" t="s">
        <v>869</v>
      </c>
      <c r="BM55" t="s">
        <v>942</v>
      </c>
      <c r="BN55" t="s">
        <v>74</v>
      </c>
      <c r="BO55" t="s">
        <v>901</v>
      </c>
      <c r="BP55" t="s">
        <v>74</v>
      </c>
      <c r="BQ55" t="s">
        <v>74</v>
      </c>
      <c r="BR55" t="s">
        <v>100</v>
      </c>
      <c r="BS55" t="s">
        <v>943</v>
      </c>
      <c r="BT55" t="str">
        <f>HYPERLINK("https%3A%2F%2Fwww.webofscience.com%2Fwos%2Fwoscc%2Ffull-record%2FWOS:000240653900016","View Full Record in Web of Science")</f>
        <v>View Full Record in Web of Science</v>
      </c>
    </row>
    <row r="56" spans="1:72" x14ac:dyDescent="0.15">
      <c r="A56" t="s">
        <v>72</v>
      </c>
      <c r="B56" t="s">
        <v>944</v>
      </c>
      <c r="C56" t="s">
        <v>74</v>
      </c>
      <c r="D56" t="s">
        <v>74</v>
      </c>
      <c r="E56" t="s">
        <v>74</v>
      </c>
      <c r="F56" t="s">
        <v>945</v>
      </c>
      <c r="G56" t="s">
        <v>74</v>
      </c>
      <c r="H56" t="s">
        <v>74</v>
      </c>
      <c r="I56" t="s">
        <v>946</v>
      </c>
      <c r="J56" t="s">
        <v>947</v>
      </c>
      <c r="K56" t="s">
        <v>74</v>
      </c>
      <c r="L56" t="s">
        <v>74</v>
      </c>
      <c r="M56" t="s">
        <v>78</v>
      </c>
      <c r="N56" t="s">
        <v>79</v>
      </c>
      <c r="O56" t="s">
        <v>74</v>
      </c>
      <c r="P56" t="s">
        <v>74</v>
      </c>
      <c r="Q56" t="s">
        <v>74</v>
      </c>
      <c r="R56" t="s">
        <v>74</v>
      </c>
      <c r="S56" t="s">
        <v>74</v>
      </c>
      <c r="T56" t="s">
        <v>948</v>
      </c>
      <c r="U56" t="s">
        <v>949</v>
      </c>
      <c r="V56" t="s">
        <v>950</v>
      </c>
      <c r="W56" t="s">
        <v>951</v>
      </c>
      <c r="X56" t="s">
        <v>952</v>
      </c>
      <c r="Y56" t="s">
        <v>953</v>
      </c>
      <c r="Z56" t="s">
        <v>954</v>
      </c>
      <c r="AA56" t="s">
        <v>955</v>
      </c>
      <c r="AB56" t="s">
        <v>74</v>
      </c>
      <c r="AC56" t="s">
        <v>74</v>
      </c>
      <c r="AD56" t="s">
        <v>74</v>
      </c>
      <c r="AE56" t="s">
        <v>74</v>
      </c>
      <c r="AF56" t="s">
        <v>74</v>
      </c>
      <c r="AG56">
        <v>20</v>
      </c>
      <c r="AH56">
        <v>6</v>
      </c>
      <c r="AI56">
        <v>11</v>
      </c>
      <c r="AJ56">
        <v>0</v>
      </c>
      <c r="AK56">
        <v>27</v>
      </c>
      <c r="AL56" t="s">
        <v>840</v>
      </c>
      <c r="AM56" t="s">
        <v>388</v>
      </c>
      <c r="AN56" t="s">
        <v>841</v>
      </c>
      <c r="AO56" t="s">
        <v>956</v>
      </c>
      <c r="AP56" t="s">
        <v>74</v>
      </c>
      <c r="AQ56" t="s">
        <v>74</v>
      </c>
      <c r="AR56" t="s">
        <v>957</v>
      </c>
      <c r="AS56" t="s">
        <v>958</v>
      </c>
      <c r="AT56" t="s">
        <v>94</v>
      </c>
      <c r="AU56">
        <v>2006</v>
      </c>
      <c r="AV56">
        <v>48</v>
      </c>
      <c r="AW56">
        <v>8</v>
      </c>
      <c r="AX56" t="s">
        <v>74</v>
      </c>
      <c r="AY56" t="s">
        <v>74</v>
      </c>
      <c r="AZ56" t="s">
        <v>74</v>
      </c>
      <c r="BA56" t="s">
        <v>74</v>
      </c>
      <c r="BB56">
        <v>965</v>
      </c>
      <c r="BC56">
        <v>970</v>
      </c>
      <c r="BD56" t="s">
        <v>74</v>
      </c>
      <c r="BE56" t="s">
        <v>959</v>
      </c>
      <c r="BF56" t="str">
        <f>HYPERLINK("http://dx.doi.org/10.1111/j.1744-7909.2006.00255.x","http://dx.doi.org/10.1111/j.1744-7909.2006.00255.x")</f>
        <v>http://dx.doi.org/10.1111/j.1744-7909.2006.00255.x</v>
      </c>
      <c r="BG56" t="s">
        <v>74</v>
      </c>
      <c r="BH56" t="s">
        <v>74</v>
      </c>
      <c r="BI56">
        <v>6</v>
      </c>
      <c r="BJ56" t="s">
        <v>960</v>
      </c>
      <c r="BK56" t="s">
        <v>97</v>
      </c>
      <c r="BL56" t="s">
        <v>960</v>
      </c>
      <c r="BM56" t="s">
        <v>961</v>
      </c>
      <c r="BN56" t="s">
        <v>74</v>
      </c>
      <c r="BO56" t="s">
        <v>74</v>
      </c>
      <c r="BP56" t="s">
        <v>74</v>
      </c>
      <c r="BQ56" t="s">
        <v>74</v>
      </c>
      <c r="BR56" t="s">
        <v>100</v>
      </c>
      <c r="BS56" t="s">
        <v>962</v>
      </c>
      <c r="BT56" t="str">
        <f>HYPERLINK("https%3A%2F%2Fwww.webofscience.com%2Fwos%2Fwoscc%2Ffull-record%2FWOS:000239510200012","View Full Record in Web of Science")</f>
        <v>View Full Record in Web of Science</v>
      </c>
    </row>
    <row r="57" spans="1:72" x14ac:dyDescent="0.15">
      <c r="A57" t="s">
        <v>72</v>
      </c>
      <c r="B57" t="s">
        <v>963</v>
      </c>
      <c r="C57" t="s">
        <v>74</v>
      </c>
      <c r="D57" t="s">
        <v>74</v>
      </c>
      <c r="E57" t="s">
        <v>74</v>
      </c>
      <c r="F57" t="s">
        <v>964</v>
      </c>
      <c r="G57" t="s">
        <v>74</v>
      </c>
      <c r="H57" t="s">
        <v>74</v>
      </c>
      <c r="I57" t="s">
        <v>965</v>
      </c>
      <c r="J57" t="s">
        <v>966</v>
      </c>
      <c r="K57" t="s">
        <v>74</v>
      </c>
      <c r="L57" t="s">
        <v>74</v>
      </c>
      <c r="M57" t="s">
        <v>78</v>
      </c>
      <c r="N57" t="s">
        <v>79</v>
      </c>
      <c r="O57" t="s">
        <v>74</v>
      </c>
      <c r="P57" t="s">
        <v>74</v>
      </c>
      <c r="Q57" t="s">
        <v>74</v>
      </c>
      <c r="R57" t="s">
        <v>74</v>
      </c>
      <c r="S57" t="s">
        <v>74</v>
      </c>
      <c r="T57" t="s">
        <v>967</v>
      </c>
      <c r="U57" t="s">
        <v>968</v>
      </c>
      <c r="V57" t="s">
        <v>969</v>
      </c>
      <c r="W57" t="s">
        <v>970</v>
      </c>
      <c r="X57" t="s">
        <v>971</v>
      </c>
      <c r="Y57" t="s">
        <v>972</v>
      </c>
      <c r="Z57" t="s">
        <v>973</v>
      </c>
      <c r="AA57" t="s">
        <v>974</v>
      </c>
      <c r="AB57" t="s">
        <v>975</v>
      </c>
      <c r="AC57" t="s">
        <v>74</v>
      </c>
      <c r="AD57" t="s">
        <v>74</v>
      </c>
      <c r="AE57" t="s">
        <v>74</v>
      </c>
      <c r="AF57" t="s">
        <v>74</v>
      </c>
      <c r="AG57">
        <v>49</v>
      </c>
      <c r="AH57">
        <v>1</v>
      </c>
      <c r="AI57">
        <v>1</v>
      </c>
      <c r="AJ57">
        <v>0</v>
      </c>
      <c r="AK57">
        <v>3</v>
      </c>
      <c r="AL57" t="s">
        <v>976</v>
      </c>
      <c r="AM57" t="s">
        <v>977</v>
      </c>
      <c r="AN57" t="s">
        <v>978</v>
      </c>
      <c r="AO57" t="s">
        <v>979</v>
      </c>
      <c r="AP57" t="s">
        <v>980</v>
      </c>
      <c r="AQ57" t="s">
        <v>74</v>
      </c>
      <c r="AR57" t="s">
        <v>981</v>
      </c>
      <c r="AS57" t="s">
        <v>982</v>
      </c>
      <c r="AT57" t="s">
        <v>94</v>
      </c>
      <c r="AU57">
        <v>2006</v>
      </c>
      <c r="AV57">
        <v>8</v>
      </c>
      <c r="AW57">
        <v>4</v>
      </c>
      <c r="AX57" t="s">
        <v>74</v>
      </c>
      <c r="AY57" t="s">
        <v>74</v>
      </c>
      <c r="AZ57" t="s">
        <v>74</v>
      </c>
      <c r="BA57" t="s">
        <v>74</v>
      </c>
      <c r="BB57">
        <v>1565</v>
      </c>
      <c r="BC57">
        <v>1573</v>
      </c>
      <c r="BD57" t="s">
        <v>74</v>
      </c>
      <c r="BE57" t="s">
        <v>74</v>
      </c>
      <c r="BF57" t="s">
        <v>74</v>
      </c>
      <c r="BG57" t="s">
        <v>74</v>
      </c>
      <c r="BH57" t="s">
        <v>74</v>
      </c>
      <c r="BI57">
        <v>9</v>
      </c>
      <c r="BJ57" t="s">
        <v>983</v>
      </c>
      <c r="BK57" t="s">
        <v>97</v>
      </c>
      <c r="BL57" t="s">
        <v>984</v>
      </c>
      <c r="BM57" t="s">
        <v>985</v>
      </c>
      <c r="BN57" t="s">
        <v>74</v>
      </c>
      <c r="BO57" t="s">
        <v>74</v>
      </c>
      <c r="BP57" t="s">
        <v>74</v>
      </c>
      <c r="BQ57" t="s">
        <v>74</v>
      </c>
      <c r="BR57" t="s">
        <v>100</v>
      </c>
      <c r="BS57" t="s">
        <v>986</v>
      </c>
      <c r="BT57" t="str">
        <f>HYPERLINK("https%3A%2F%2Fwww.webofscience.com%2Fwos%2Fwoscc%2Ffull-record%2FWOS:000239874400048","View Full Record in Web of Science")</f>
        <v>View Full Record in Web of Science</v>
      </c>
    </row>
    <row r="58" spans="1:72" x14ac:dyDescent="0.15">
      <c r="A58" t="s">
        <v>72</v>
      </c>
      <c r="B58" t="s">
        <v>987</v>
      </c>
      <c r="C58" t="s">
        <v>74</v>
      </c>
      <c r="D58" t="s">
        <v>74</v>
      </c>
      <c r="E58" t="s">
        <v>74</v>
      </c>
      <c r="F58" t="s">
        <v>988</v>
      </c>
      <c r="G58" t="s">
        <v>74</v>
      </c>
      <c r="H58" t="s">
        <v>74</v>
      </c>
      <c r="I58" t="s">
        <v>989</v>
      </c>
      <c r="J58" t="s">
        <v>990</v>
      </c>
      <c r="K58" t="s">
        <v>74</v>
      </c>
      <c r="L58" t="s">
        <v>74</v>
      </c>
      <c r="M58" t="s">
        <v>78</v>
      </c>
      <c r="N58" t="s">
        <v>52</v>
      </c>
      <c r="O58" t="s">
        <v>74</v>
      </c>
      <c r="P58" t="s">
        <v>74</v>
      </c>
      <c r="Q58" t="s">
        <v>74</v>
      </c>
      <c r="R58" t="s">
        <v>74</v>
      </c>
      <c r="S58" t="s">
        <v>74</v>
      </c>
      <c r="T58" t="s">
        <v>74</v>
      </c>
      <c r="U58" t="s">
        <v>74</v>
      </c>
      <c r="V58" t="s">
        <v>74</v>
      </c>
      <c r="W58" t="s">
        <v>991</v>
      </c>
      <c r="X58" t="s">
        <v>992</v>
      </c>
      <c r="Y58" t="s">
        <v>74</v>
      </c>
      <c r="Z58" t="s">
        <v>993</v>
      </c>
      <c r="AA58" t="s">
        <v>74</v>
      </c>
      <c r="AB58" t="s">
        <v>74</v>
      </c>
      <c r="AC58" t="s">
        <v>74</v>
      </c>
      <c r="AD58" t="s">
        <v>74</v>
      </c>
      <c r="AE58" t="s">
        <v>74</v>
      </c>
      <c r="AF58" t="s">
        <v>74</v>
      </c>
      <c r="AG58">
        <v>0</v>
      </c>
      <c r="AH58">
        <v>0</v>
      </c>
      <c r="AI58">
        <v>0</v>
      </c>
      <c r="AJ58">
        <v>0</v>
      </c>
      <c r="AK58">
        <v>5</v>
      </c>
      <c r="AL58" t="s">
        <v>994</v>
      </c>
      <c r="AM58" t="s">
        <v>476</v>
      </c>
      <c r="AN58" t="s">
        <v>995</v>
      </c>
      <c r="AO58" t="s">
        <v>996</v>
      </c>
      <c r="AP58" t="s">
        <v>74</v>
      </c>
      <c r="AQ58" t="s">
        <v>74</v>
      </c>
      <c r="AR58" t="s">
        <v>997</v>
      </c>
      <c r="AS58" t="s">
        <v>998</v>
      </c>
      <c r="AT58" t="s">
        <v>94</v>
      </c>
      <c r="AU58">
        <v>2006</v>
      </c>
      <c r="AV58">
        <v>147</v>
      </c>
      <c r="AW58">
        <v>5</v>
      </c>
      <c r="AX58" t="s">
        <v>74</v>
      </c>
      <c r="AY58">
        <v>1</v>
      </c>
      <c r="AZ58" t="s">
        <v>74</v>
      </c>
      <c r="BA58" t="s">
        <v>74</v>
      </c>
      <c r="BB58">
        <v>7</v>
      </c>
      <c r="BC58">
        <v>7</v>
      </c>
      <c r="BD58" t="s">
        <v>74</v>
      </c>
      <c r="BE58" t="s">
        <v>74</v>
      </c>
      <c r="BF58" t="s">
        <v>74</v>
      </c>
      <c r="BG58" t="s">
        <v>74</v>
      </c>
      <c r="BH58" t="s">
        <v>74</v>
      </c>
      <c r="BI58">
        <v>1</v>
      </c>
      <c r="BJ58" t="s">
        <v>999</v>
      </c>
      <c r="BK58" t="s">
        <v>97</v>
      </c>
      <c r="BL58" t="s">
        <v>1000</v>
      </c>
      <c r="BM58" t="s">
        <v>1001</v>
      </c>
      <c r="BN58" t="s">
        <v>74</v>
      </c>
      <c r="BO58" t="s">
        <v>74</v>
      </c>
      <c r="BP58" t="s">
        <v>74</v>
      </c>
      <c r="BQ58" t="s">
        <v>74</v>
      </c>
      <c r="BR58" t="s">
        <v>100</v>
      </c>
      <c r="BS58" t="s">
        <v>1002</v>
      </c>
      <c r="BT58" t="str">
        <f>HYPERLINK("https%3A%2F%2Fwww.webofscience.com%2Fwos%2Fwoscc%2Ffull-record%2FWOS:000240313200019","View Full Record in Web of Science")</f>
        <v>View Full Record in Web of Science</v>
      </c>
    </row>
    <row r="59" spans="1:72" x14ac:dyDescent="0.15">
      <c r="A59" t="s">
        <v>72</v>
      </c>
      <c r="B59" t="s">
        <v>1003</v>
      </c>
      <c r="C59" t="s">
        <v>74</v>
      </c>
      <c r="D59" t="s">
        <v>74</v>
      </c>
      <c r="E59" t="s">
        <v>74</v>
      </c>
      <c r="F59" t="s">
        <v>1004</v>
      </c>
      <c r="G59" t="s">
        <v>74</v>
      </c>
      <c r="H59" t="s">
        <v>74</v>
      </c>
      <c r="I59" t="s">
        <v>1005</v>
      </c>
      <c r="J59" t="s">
        <v>990</v>
      </c>
      <c r="K59" t="s">
        <v>74</v>
      </c>
      <c r="L59" t="s">
        <v>74</v>
      </c>
      <c r="M59" t="s">
        <v>78</v>
      </c>
      <c r="N59" t="s">
        <v>52</v>
      </c>
      <c r="O59" t="s">
        <v>74</v>
      </c>
      <c r="P59" t="s">
        <v>74</v>
      </c>
      <c r="Q59" t="s">
        <v>74</v>
      </c>
      <c r="R59" t="s">
        <v>74</v>
      </c>
      <c r="S59" t="s">
        <v>74</v>
      </c>
      <c r="T59" t="s">
        <v>74</v>
      </c>
      <c r="U59" t="s">
        <v>74</v>
      </c>
      <c r="V59" t="s">
        <v>74</v>
      </c>
      <c r="W59" t="s">
        <v>1006</v>
      </c>
      <c r="X59" t="s">
        <v>1007</v>
      </c>
      <c r="Y59" t="s">
        <v>74</v>
      </c>
      <c r="Z59" t="s">
        <v>1008</v>
      </c>
      <c r="AA59" t="s">
        <v>74</v>
      </c>
      <c r="AB59" t="s">
        <v>74</v>
      </c>
      <c r="AC59" t="s">
        <v>74</v>
      </c>
      <c r="AD59" t="s">
        <v>74</v>
      </c>
      <c r="AE59" t="s">
        <v>74</v>
      </c>
      <c r="AF59" t="s">
        <v>74</v>
      </c>
      <c r="AG59">
        <v>0</v>
      </c>
      <c r="AH59">
        <v>0</v>
      </c>
      <c r="AI59">
        <v>0</v>
      </c>
      <c r="AJ59">
        <v>0</v>
      </c>
      <c r="AK59">
        <v>0</v>
      </c>
      <c r="AL59" t="s">
        <v>1009</v>
      </c>
      <c r="AM59" t="s">
        <v>1010</v>
      </c>
      <c r="AN59" t="s">
        <v>1011</v>
      </c>
      <c r="AO59" t="s">
        <v>996</v>
      </c>
      <c r="AP59" t="s">
        <v>1012</v>
      </c>
      <c r="AQ59" t="s">
        <v>74</v>
      </c>
      <c r="AR59" t="s">
        <v>997</v>
      </c>
      <c r="AS59" t="s">
        <v>998</v>
      </c>
      <c r="AT59" t="s">
        <v>94</v>
      </c>
      <c r="AU59">
        <v>2006</v>
      </c>
      <c r="AV59">
        <v>147</v>
      </c>
      <c r="AW59">
        <v>5</v>
      </c>
      <c r="AX59" t="s">
        <v>74</v>
      </c>
      <c r="AY59">
        <v>1</v>
      </c>
      <c r="AZ59" t="s">
        <v>74</v>
      </c>
      <c r="BA59" t="s">
        <v>74</v>
      </c>
      <c r="BB59">
        <v>11</v>
      </c>
      <c r="BC59">
        <v>11</v>
      </c>
      <c r="BD59" t="s">
        <v>74</v>
      </c>
      <c r="BE59" t="s">
        <v>74</v>
      </c>
      <c r="BF59" t="s">
        <v>74</v>
      </c>
      <c r="BG59" t="s">
        <v>74</v>
      </c>
      <c r="BH59" t="s">
        <v>74</v>
      </c>
      <c r="BI59">
        <v>1</v>
      </c>
      <c r="BJ59" t="s">
        <v>999</v>
      </c>
      <c r="BK59" t="s">
        <v>97</v>
      </c>
      <c r="BL59" t="s">
        <v>1000</v>
      </c>
      <c r="BM59" t="s">
        <v>1001</v>
      </c>
      <c r="BN59" t="s">
        <v>74</v>
      </c>
      <c r="BO59" t="s">
        <v>74</v>
      </c>
      <c r="BP59" t="s">
        <v>74</v>
      </c>
      <c r="BQ59" t="s">
        <v>74</v>
      </c>
      <c r="BR59" t="s">
        <v>100</v>
      </c>
      <c r="BS59" t="s">
        <v>1013</v>
      </c>
      <c r="BT59" t="str">
        <f>HYPERLINK("https%3A%2F%2Fwww.webofscience.com%2Fwos%2Fwoscc%2Ffull-record%2FWOS:000240313200032","View Full Record in Web of Science")</f>
        <v>View Full Record in Web of Science</v>
      </c>
    </row>
    <row r="60" spans="1:72" x14ac:dyDescent="0.15">
      <c r="A60" t="s">
        <v>72</v>
      </c>
      <c r="B60" t="s">
        <v>1014</v>
      </c>
      <c r="C60" t="s">
        <v>74</v>
      </c>
      <c r="D60" t="s">
        <v>74</v>
      </c>
      <c r="E60" t="s">
        <v>74</v>
      </c>
      <c r="F60" t="s">
        <v>1015</v>
      </c>
      <c r="G60" t="s">
        <v>74</v>
      </c>
      <c r="H60" t="s">
        <v>74</v>
      </c>
      <c r="I60" t="s">
        <v>1016</v>
      </c>
      <c r="J60" t="s">
        <v>990</v>
      </c>
      <c r="K60" t="s">
        <v>74</v>
      </c>
      <c r="L60" t="s">
        <v>74</v>
      </c>
      <c r="M60" t="s">
        <v>78</v>
      </c>
      <c r="N60" t="s">
        <v>52</v>
      </c>
      <c r="O60" t="s">
        <v>74</v>
      </c>
      <c r="P60" t="s">
        <v>74</v>
      </c>
      <c r="Q60" t="s">
        <v>74</v>
      </c>
      <c r="R60" t="s">
        <v>74</v>
      </c>
      <c r="S60" t="s">
        <v>74</v>
      </c>
      <c r="T60" t="s">
        <v>74</v>
      </c>
      <c r="U60" t="s">
        <v>74</v>
      </c>
      <c r="V60" t="s">
        <v>74</v>
      </c>
      <c r="W60" t="s">
        <v>1017</v>
      </c>
      <c r="X60" t="s">
        <v>1018</v>
      </c>
      <c r="Y60" t="s">
        <v>74</v>
      </c>
      <c r="Z60" t="s">
        <v>1019</v>
      </c>
      <c r="AA60" t="s">
        <v>1020</v>
      </c>
      <c r="AB60" t="s">
        <v>1021</v>
      </c>
      <c r="AC60" t="s">
        <v>74</v>
      </c>
      <c r="AD60" t="s">
        <v>74</v>
      </c>
      <c r="AE60" t="s">
        <v>74</v>
      </c>
      <c r="AF60" t="s">
        <v>74</v>
      </c>
      <c r="AG60">
        <v>0</v>
      </c>
      <c r="AH60">
        <v>1</v>
      </c>
      <c r="AI60">
        <v>2</v>
      </c>
      <c r="AJ60">
        <v>0</v>
      </c>
      <c r="AK60">
        <v>6</v>
      </c>
      <c r="AL60" t="s">
        <v>1009</v>
      </c>
      <c r="AM60" t="s">
        <v>1010</v>
      </c>
      <c r="AN60" t="s">
        <v>1011</v>
      </c>
      <c r="AO60" t="s">
        <v>996</v>
      </c>
      <c r="AP60" t="s">
        <v>1012</v>
      </c>
      <c r="AQ60" t="s">
        <v>74</v>
      </c>
      <c r="AR60" t="s">
        <v>997</v>
      </c>
      <c r="AS60" t="s">
        <v>998</v>
      </c>
      <c r="AT60" t="s">
        <v>94</v>
      </c>
      <c r="AU60">
        <v>2006</v>
      </c>
      <c r="AV60">
        <v>147</v>
      </c>
      <c r="AW60">
        <v>5</v>
      </c>
      <c r="AX60" t="s">
        <v>74</v>
      </c>
      <c r="AY60">
        <v>1</v>
      </c>
      <c r="AZ60" t="s">
        <v>74</v>
      </c>
      <c r="BA60" t="s">
        <v>74</v>
      </c>
      <c r="BB60">
        <v>52</v>
      </c>
      <c r="BC60">
        <v>52</v>
      </c>
      <c r="BD60" t="s">
        <v>74</v>
      </c>
      <c r="BE60" t="s">
        <v>74</v>
      </c>
      <c r="BF60" t="s">
        <v>74</v>
      </c>
      <c r="BG60" t="s">
        <v>74</v>
      </c>
      <c r="BH60" t="s">
        <v>74</v>
      </c>
      <c r="BI60">
        <v>1</v>
      </c>
      <c r="BJ60" t="s">
        <v>999</v>
      </c>
      <c r="BK60" t="s">
        <v>97</v>
      </c>
      <c r="BL60" t="s">
        <v>1000</v>
      </c>
      <c r="BM60" t="s">
        <v>1001</v>
      </c>
      <c r="BN60" t="s">
        <v>74</v>
      </c>
      <c r="BO60" t="s">
        <v>74</v>
      </c>
      <c r="BP60" t="s">
        <v>74</v>
      </c>
      <c r="BQ60" t="s">
        <v>74</v>
      </c>
      <c r="BR60" t="s">
        <v>100</v>
      </c>
      <c r="BS60" t="s">
        <v>1022</v>
      </c>
      <c r="BT60" t="str">
        <f>HYPERLINK("https%3A%2F%2Fwww.webofscience.com%2Fwos%2Fwoscc%2Ffull-record%2FWOS:000240313200172","View Full Record in Web of Science")</f>
        <v>View Full Record in Web of Science</v>
      </c>
    </row>
    <row r="61" spans="1:72" x14ac:dyDescent="0.15">
      <c r="A61" t="s">
        <v>72</v>
      </c>
      <c r="B61" t="s">
        <v>1023</v>
      </c>
      <c r="C61" t="s">
        <v>74</v>
      </c>
      <c r="D61" t="s">
        <v>74</v>
      </c>
      <c r="E61" t="s">
        <v>74</v>
      </c>
      <c r="F61" t="s">
        <v>1024</v>
      </c>
      <c r="G61" t="s">
        <v>74</v>
      </c>
      <c r="H61" t="s">
        <v>74</v>
      </c>
      <c r="I61" t="s">
        <v>1025</v>
      </c>
      <c r="J61" t="s">
        <v>990</v>
      </c>
      <c r="K61" t="s">
        <v>74</v>
      </c>
      <c r="L61" t="s">
        <v>74</v>
      </c>
      <c r="M61" t="s">
        <v>78</v>
      </c>
      <c r="N61" t="s">
        <v>52</v>
      </c>
      <c r="O61" t="s">
        <v>74</v>
      </c>
      <c r="P61" t="s">
        <v>74</v>
      </c>
      <c r="Q61" t="s">
        <v>74</v>
      </c>
      <c r="R61" t="s">
        <v>74</v>
      </c>
      <c r="S61" t="s">
        <v>74</v>
      </c>
      <c r="T61" t="s">
        <v>74</v>
      </c>
      <c r="U61" t="s">
        <v>74</v>
      </c>
      <c r="V61" t="s">
        <v>74</v>
      </c>
      <c r="W61" t="s">
        <v>1026</v>
      </c>
      <c r="X61" t="s">
        <v>1027</v>
      </c>
      <c r="Y61" t="s">
        <v>74</v>
      </c>
      <c r="Z61" t="s">
        <v>1028</v>
      </c>
      <c r="AA61" t="s">
        <v>1029</v>
      </c>
      <c r="AB61" t="s">
        <v>1030</v>
      </c>
      <c r="AC61" t="s">
        <v>74</v>
      </c>
      <c r="AD61" t="s">
        <v>74</v>
      </c>
      <c r="AE61" t="s">
        <v>74</v>
      </c>
      <c r="AF61" t="s">
        <v>74</v>
      </c>
      <c r="AG61">
        <v>0</v>
      </c>
      <c r="AH61">
        <v>0</v>
      </c>
      <c r="AI61">
        <v>0</v>
      </c>
      <c r="AJ61">
        <v>0</v>
      </c>
      <c r="AK61">
        <v>1</v>
      </c>
      <c r="AL61" t="s">
        <v>994</v>
      </c>
      <c r="AM61" t="s">
        <v>476</v>
      </c>
      <c r="AN61" t="s">
        <v>995</v>
      </c>
      <c r="AO61" t="s">
        <v>996</v>
      </c>
      <c r="AP61" t="s">
        <v>74</v>
      </c>
      <c r="AQ61" t="s">
        <v>74</v>
      </c>
      <c r="AR61" t="s">
        <v>997</v>
      </c>
      <c r="AS61" t="s">
        <v>998</v>
      </c>
      <c r="AT61" t="s">
        <v>94</v>
      </c>
      <c r="AU61">
        <v>2006</v>
      </c>
      <c r="AV61">
        <v>147</v>
      </c>
      <c r="AW61">
        <v>5</v>
      </c>
      <c r="AX61" t="s">
        <v>74</v>
      </c>
      <c r="AY61">
        <v>1</v>
      </c>
      <c r="AZ61" t="s">
        <v>74</v>
      </c>
      <c r="BA61" t="s">
        <v>74</v>
      </c>
      <c r="BB61">
        <v>200</v>
      </c>
      <c r="BC61">
        <v>200</v>
      </c>
      <c r="BD61" t="s">
        <v>74</v>
      </c>
      <c r="BE61" t="s">
        <v>74</v>
      </c>
      <c r="BF61" t="s">
        <v>74</v>
      </c>
      <c r="BG61" t="s">
        <v>74</v>
      </c>
      <c r="BH61" t="s">
        <v>74</v>
      </c>
      <c r="BI61">
        <v>1</v>
      </c>
      <c r="BJ61" t="s">
        <v>999</v>
      </c>
      <c r="BK61" t="s">
        <v>97</v>
      </c>
      <c r="BL61" t="s">
        <v>1000</v>
      </c>
      <c r="BM61" t="s">
        <v>1001</v>
      </c>
      <c r="BN61" t="s">
        <v>74</v>
      </c>
      <c r="BO61" t="s">
        <v>74</v>
      </c>
      <c r="BP61" t="s">
        <v>74</v>
      </c>
      <c r="BQ61" t="s">
        <v>74</v>
      </c>
      <c r="BR61" t="s">
        <v>100</v>
      </c>
      <c r="BS61" t="s">
        <v>1031</v>
      </c>
      <c r="BT61" t="str">
        <f>HYPERLINK("https%3A%2F%2Fwww.webofscience.com%2Fwos%2Fwoscc%2Ffull-record%2FWOS:000240313201177","View Full Record in Web of Science")</f>
        <v>View Full Record in Web of Science</v>
      </c>
    </row>
    <row r="62" spans="1:72" x14ac:dyDescent="0.15">
      <c r="A62" t="s">
        <v>72</v>
      </c>
      <c r="B62" t="s">
        <v>1032</v>
      </c>
      <c r="C62" t="s">
        <v>74</v>
      </c>
      <c r="D62" t="s">
        <v>74</v>
      </c>
      <c r="E62" t="s">
        <v>74</v>
      </c>
      <c r="F62" t="s">
        <v>1033</v>
      </c>
      <c r="G62" t="s">
        <v>74</v>
      </c>
      <c r="H62" t="s">
        <v>74</v>
      </c>
      <c r="I62" t="s">
        <v>1034</v>
      </c>
      <c r="J62" t="s">
        <v>990</v>
      </c>
      <c r="K62" t="s">
        <v>74</v>
      </c>
      <c r="L62" t="s">
        <v>74</v>
      </c>
      <c r="M62" t="s">
        <v>78</v>
      </c>
      <c r="N62" t="s">
        <v>52</v>
      </c>
      <c r="O62" t="s">
        <v>74</v>
      </c>
      <c r="P62" t="s">
        <v>74</v>
      </c>
      <c r="Q62" t="s">
        <v>74</v>
      </c>
      <c r="R62" t="s">
        <v>74</v>
      </c>
      <c r="S62" t="s">
        <v>74</v>
      </c>
      <c r="T62" t="s">
        <v>74</v>
      </c>
      <c r="U62" t="s">
        <v>74</v>
      </c>
      <c r="V62" t="s">
        <v>74</v>
      </c>
      <c r="W62" t="s">
        <v>1035</v>
      </c>
      <c r="X62" t="s">
        <v>493</v>
      </c>
      <c r="Y62" t="s">
        <v>74</v>
      </c>
      <c r="Z62" t="s">
        <v>1036</v>
      </c>
      <c r="AA62" t="s">
        <v>74</v>
      </c>
      <c r="AB62" t="s">
        <v>74</v>
      </c>
      <c r="AC62" t="s">
        <v>74</v>
      </c>
      <c r="AD62" t="s">
        <v>74</v>
      </c>
      <c r="AE62" t="s">
        <v>74</v>
      </c>
      <c r="AF62" t="s">
        <v>74</v>
      </c>
      <c r="AG62">
        <v>0</v>
      </c>
      <c r="AH62">
        <v>0</v>
      </c>
      <c r="AI62">
        <v>0</v>
      </c>
      <c r="AJ62">
        <v>0</v>
      </c>
      <c r="AK62">
        <v>3</v>
      </c>
      <c r="AL62" t="s">
        <v>1009</v>
      </c>
      <c r="AM62" t="s">
        <v>1010</v>
      </c>
      <c r="AN62" t="s">
        <v>1011</v>
      </c>
      <c r="AO62" t="s">
        <v>996</v>
      </c>
      <c r="AP62" t="s">
        <v>1012</v>
      </c>
      <c r="AQ62" t="s">
        <v>74</v>
      </c>
      <c r="AR62" t="s">
        <v>997</v>
      </c>
      <c r="AS62" t="s">
        <v>998</v>
      </c>
      <c r="AT62" t="s">
        <v>94</v>
      </c>
      <c r="AU62">
        <v>2006</v>
      </c>
      <c r="AV62">
        <v>147</v>
      </c>
      <c r="AW62">
        <v>5</v>
      </c>
      <c r="AX62" t="s">
        <v>74</v>
      </c>
      <c r="AY62">
        <v>1</v>
      </c>
      <c r="AZ62" t="s">
        <v>74</v>
      </c>
      <c r="BA62" t="s">
        <v>74</v>
      </c>
      <c r="BB62">
        <v>207</v>
      </c>
      <c r="BC62">
        <v>207</v>
      </c>
      <c r="BD62" t="s">
        <v>74</v>
      </c>
      <c r="BE62" t="s">
        <v>74</v>
      </c>
      <c r="BF62" t="s">
        <v>74</v>
      </c>
      <c r="BG62" t="s">
        <v>74</v>
      </c>
      <c r="BH62" t="s">
        <v>74</v>
      </c>
      <c r="BI62">
        <v>1</v>
      </c>
      <c r="BJ62" t="s">
        <v>999</v>
      </c>
      <c r="BK62" t="s">
        <v>97</v>
      </c>
      <c r="BL62" t="s">
        <v>1000</v>
      </c>
      <c r="BM62" t="s">
        <v>1001</v>
      </c>
      <c r="BN62" t="s">
        <v>74</v>
      </c>
      <c r="BO62" t="s">
        <v>74</v>
      </c>
      <c r="BP62" t="s">
        <v>74</v>
      </c>
      <c r="BQ62" t="s">
        <v>74</v>
      </c>
      <c r="BR62" t="s">
        <v>100</v>
      </c>
      <c r="BS62" t="s">
        <v>1037</v>
      </c>
      <c r="BT62" t="str">
        <f>HYPERLINK("https%3A%2F%2Fwww.webofscience.com%2Fwos%2Fwoscc%2Ffull-record%2FWOS:000240313201202","View Full Record in Web of Science")</f>
        <v>View Full Record in Web of Science</v>
      </c>
    </row>
    <row r="63" spans="1:72" x14ac:dyDescent="0.15">
      <c r="A63" t="s">
        <v>72</v>
      </c>
      <c r="B63" t="s">
        <v>1038</v>
      </c>
      <c r="C63" t="s">
        <v>74</v>
      </c>
      <c r="D63" t="s">
        <v>74</v>
      </c>
      <c r="E63" t="s">
        <v>74</v>
      </c>
      <c r="F63" t="s">
        <v>1039</v>
      </c>
      <c r="G63" t="s">
        <v>74</v>
      </c>
      <c r="H63" t="s">
        <v>74</v>
      </c>
      <c r="I63" t="s">
        <v>1040</v>
      </c>
      <c r="J63" t="s">
        <v>990</v>
      </c>
      <c r="K63" t="s">
        <v>74</v>
      </c>
      <c r="L63" t="s">
        <v>74</v>
      </c>
      <c r="M63" t="s">
        <v>78</v>
      </c>
      <c r="N63" t="s">
        <v>52</v>
      </c>
      <c r="O63" t="s">
        <v>74</v>
      </c>
      <c r="P63" t="s">
        <v>74</v>
      </c>
      <c r="Q63" t="s">
        <v>74</v>
      </c>
      <c r="R63" t="s">
        <v>74</v>
      </c>
      <c r="S63" t="s">
        <v>74</v>
      </c>
      <c r="T63" t="s">
        <v>74</v>
      </c>
      <c r="U63" t="s">
        <v>74</v>
      </c>
      <c r="V63" t="s">
        <v>74</v>
      </c>
      <c r="W63" t="s">
        <v>1041</v>
      </c>
      <c r="X63" t="s">
        <v>1042</v>
      </c>
      <c r="Y63" t="s">
        <v>74</v>
      </c>
      <c r="Z63" t="s">
        <v>1043</v>
      </c>
      <c r="AA63" t="s">
        <v>74</v>
      </c>
      <c r="AB63" t="s">
        <v>74</v>
      </c>
      <c r="AC63" t="s">
        <v>74</v>
      </c>
      <c r="AD63" t="s">
        <v>74</v>
      </c>
      <c r="AE63" t="s">
        <v>74</v>
      </c>
      <c r="AF63" t="s">
        <v>74</v>
      </c>
      <c r="AG63">
        <v>0</v>
      </c>
      <c r="AH63">
        <v>1</v>
      </c>
      <c r="AI63">
        <v>1</v>
      </c>
      <c r="AJ63">
        <v>0</v>
      </c>
      <c r="AK63">
        <v>4</v>
      </c>
      <c r="AL63" t="s">
        <v>994</v>
      </c>
      <c r="AM63" t="s">
        <v>476</v>
      </c>
      <c r="AN63" t="s">
        <v>995</v>
      </c>
      <c r="AO63" t="s">
        <v>996</v>
      </c>
      <c r="AP63" t="s">
        <v>74</v>
      </c>
      <c r="AQ63" t="s">
        <v>74</v>
      </c>
      <c r="AR63" t="s">
        <v>997</v>
      </c>
      <c r="AS63" t="s">
        <v>998</v>
      </c>
      <c r="AT63" t="s">
        <v>94</v>
      </c>
      <c r="AU63">
        <v>2006</v>
      </c>
      <c r="AV63">
        <v>147</v>
      </c>
      <c r="AW63">
        <v>5</v>
      </c>
      <c r="AX63" t="s">
        <v>74</v>
      </c>
      <c r="AY63">
        <v>1</v>
      </c>
      <c r="AZ63" t="s">
        <v>74</v>
      </c>
      <c r="BA63" t="s">
        <v>74</v>
      </c>
      <c r="BB63">
        <v>229</v>
      </c>
      <c r="BC63">
        <v>229</v>
      </c>
      <c r="BD63" t="s">
        <v>74</v>
      </c>
      <c r="BE63" t="s">
        <v>74</v>
      </c>
      <c r="BF63" t="s">
        <v>74</v>
      </c>
      <c r="BG63" t="s">
        <v>74</v>
      </c>
      <c r="BH63" t="s">
        <v>74</v>
      </c>
      <c r="BI63">
        <v>1</v>
      </c>
      <c r="BJ63" t="s">
        <v>999</v>
      </c>
      <c r="BK63" t="s">
        <v>97</v>
      </c>
      <c r="BL63" t="s">
        <v>1000</v>
      </c>
      <c r="BM63" t="s">
        <v>1001</v>
      </c>
      <c r="BN63" t="s">
        <v>74</v>
      </c>
      <c r="BO63" t="s">
        <v>74</v>
      </c>
      <c r="BP63" t="s">
        <v>74</v>
      </c>
      <c r="BQ63" t="s">
        <v>74</v>
      </c>
      <c r="BR63" t="s">
        <v>100</v>
      </c>
      <c r="BS63" t="s">
        <v>1044</v>
      </c>
      <c r="BT63" t="str">
        <f>HYPERLINK("https%3A%2F%2Fwww.webofscience.com%2Fwos%2Fwoscc%2Ffull-record%2FWOS:000240313201280","View Full Record in Web of Science")</f>
        <v>View Full Record in Web of Science</v>
      </c>
    </row>
    <row r="64" spans="1:72" x14ac:dyDescent="0.15">
      <c r="A64" t="s">
        <v>72</v>
      </c>
      <c r="B64" t="s">
        <v>1045</v>
      </c>
      <c r="C64" t="s">
        <v>74</v>
      </c>
      <c r="D64" t="s">
        <v>74</v>
      </c>
      <c r="E64" t="s">
        <v>74</v>
      </c>
      <c r="F64" t="s">
        <v>1046</v>
      </c>
      <c r="G64" t="s">
        <v>74</v>
      </c>
      <c r="H64" t="s">
        <v>74</v>
      </c>
      <c r="I64" t="s">
        <v>1047</v>
      </c>
      <c r="J64" t="s">
        <v>990</v>
      </c>
      <c r="K64" t="s">
        <v>74</v>
      </c>
      <c r="L64" t="s">
        <v>74</v>
      </c>
      <c r="M64" t="s">
        <v>78</v>
      </c>
      <c r="N64" t="s">
        <v>52</v>
      </c>
      <c r="O64" t="s">
        <v>74</v>
      </c>
      <c r="P64" t="s">
        <v>74</v>
      </c>
      <c r="Q64" t="s">
        <v>74</v>
      </c>
      <c r="R64" t="s">
        <v>74</v>
      </c>
      <c r="S64" t="s">
        <v>74</v>
      </c>
      <c r="T64" t="s">
        <v>74</v>
      </c>
      <c r="U64" t="s">
        <v>74</v>
      </c>
      <c r="V64" t="s">
        <v>74</v>
      </c>
      <c r="W64" t="s">
        <v>1048</v>
      </c>
      <c r="X64" t="s">
        <v>1049</v>
      </c>
      <c r="Y64" t="s">
        <v>74</v>
      </c>
      <c r="Z64" t="s">
        <v>1050</v>
      </c>
      <c r="AA64" t="s">
        <v>1051</v>
      </c>
      <c r="AB64" t="s">
        <v>74</v>
      </c>
      <c r="AC64" t="s">
        <v>74</v>
      </c>
      <c r="AD64" t="s">
        <v>74</v>
      </c>
      <c r="AE64" t="s">
        <v>74</v>
      </c>
      <c r="AF64" t="s">
        <v>74</v>
      </c>
      <c r="AG64">
        <v>0</v>
      </c>
      <c r="AH64">
        <v>1</v>
      </c>
      <c r="AI64">
        <v>1</v>
      </c>
      <c r="AJ64">
        <v>0</v>
      </c>
      <c r="AK64">
        <v>2</v>
      </c>
      <c r="AL64" t="s">
        <v>1009</v>
      </c>
      <c r="AM64" t="s">
        <v>1010</v>
      </c>
      <c r="AN64" t="s">
        <v>1011</v>
      </c>
      <c r="AO64" t="s">
        <v>996</v>
      </c>
      <c r="AP64" t="s">
        <v>1012</v>
      </c>
      <c r="AQ64" t="s">
        <v>74</v>
      </c>
      <c r="AR64" t="s">
        <v>997</v>
      </c>
      <c r="AS64" t="s">
        <v>998</v>
      </c>
      <c r="AT64" t="s">
        <v>94</v>
      </c>
      <c r="AU64">
        <v>2006</v>
      </c>
      <c r="AV64">
        <v>147</v>
      </c>
      <c r="AW64">
        <v>5</v>
      </c>
      <c r="AX64" t="s">
        <v>74</v>
      </c>
      <c r="AY64">
        <v>1</v>
      </c>
      <c r="AZ64" t="s">
        <v>74</v>
      </c>
      <c r="BA64" t="s">
        <v>74</v>
      </c>
      <c r="BB64">
        <v>238</v>
      </c>
      <c r="BC64">
        <v>238</v>
      </c>
      <c r="BD64" t="s">
        <v>74</v>
      </c>
      <c r="BE64" t="s">
        <v>74</v>
      </c>
      <c r="BF64" t="s">
        <v>74</v>
      </c>
      <c r="BG64" t="s">
        <v>74</v>
      </c>
      <c r="BH64" t="s">
        <v>74</v>
      </c>
      <c r="BI64">
        <v>1</v>
      </c>
      <c r="BJ64" t="s">
        <v>999</v>
      </c>
      <c r="BK64" t="s">
        <v>97</v>
      </c>
      <c r="BL64" t="s">
        <v>1000</v>
      </c>
      <c r="BM64" t="s">
        <v>1001</v>
      </c>
      <c r="BN64" t="s">
        <v>74</v>
      </c>
      <c r="BO64" t="s">
        <v>74</v>
      </c>
      <c r="BP64" t="s">
        <v>74</v>
      </c>
      <c r="BQ64" t="s">
        <v>74</v>
      </c>
      <c r="BR64" t="s">
        <v>100</v>
      </c>
      <c r="BS64" t="s">
        <v>1052</v>
      </c>
      <c r="BT64" t="str">
        <f>HYPERLINK("https%3A%2F%2Fwww.webofscience.com%2Fwos%2Fwoscc%2Ffull-record%2FWOS:000240313201312","View Full Record in Web of Science")</f>
        <v>View Full Record in Web of Science</v>
      </c>
    </row>
    <row r="65" spans="1:72" x14ac:dyDescent="0.15">
      <c r="A65" t="s">
        <v>72</v>
      </c>
      <c r="B65" t="s">
        <v>1053</v>
      </c>
      <c r="C65" t="s">
        <v>74</v>
      </c>
      <c r="D65" t="s">
        <v>74</v>
      </c>
      <c r="E65" t="s">
        <v>74</v>
      </c>
      <c r="F65" t="s">
        <v>1054</v>
      </c>
      <c r="G65" t="s">
        <v>74</v>
      </c>
      <c r="H65" t="s">
        <v>74</v>
      </c>
      <c r="I65" t="s">
        <v>1055</v>
      </c>
      <c r="J65" t="s">
        <v>1056</v>
      </c>
      <c r="K65" t="s">
        <v>74</v>
      </c>
      <c r="L65" t="s">
        <v>74</v>
      </c>
      <c r="M65" t="s">
        <v>78</v>
      </c>
      <c r="N65" t="s">
        <v>79</v>
      </c>
      <c r="O65" t="s">
        <v>74</v>
      </c>
      <c r="P65" t="s">
        <v>74</v>
      </c>
      <c r="Q65" t="s">
        <v>74</v>
      </c>
      <c r="R65" t="s">
        <v>74</v>
      </c>
      <c r="S65" t="s">
        <v>74</v>
      </c>
      <c r="T65" t="s">
        <v>74</v>
      </c>
      <c r="U65" t="s">
        <v>1057</v>
      </c>
      <c r="V65" t="s">
        <v>1058</v>
      </c>
      <c r="W65" t="s">
        <v>1059</v>
      </c>
      <c r="X65" t="s">
        <v>1060</v>
      </c>
      <c r="Y65" t="s">
        <v>1061</v>
      </c>
      <c r="Z65" t="s">
        <v>1062</v>
      </c>
      <c r="AA65" t="s">
        <v>1063</v>
      </c>
      <c r="AB65" t="s">
        <v>1064</v>
      </c>
      <c r="AC65" t="s">
        <v>74</v>
      </c>
      <c r="AD65" t="s">
        <v>74</v>
      </c>
      <c r="AE65" t="s">
        <v>74</v>
      </c>
      <c r="AF65" t="s">
        <v>74</v>
      </c>
      <c r="AG65">
        <v>84</v>
      </c>
      <c r="AH65">
        <v>22</v>
      </c>
      <c r="AI65">
        <v>23</v>
      </c>
      <c r="AJ65">
        <v>0</v>
      </c>
      <c r="AK65">
        <v>15</v>
      </c>
      <c r="AL65" t="s">
        <v>861</v>
      </c>
      <c r="AM65" t="s">
        <v>862</v>
      </c>
      <c r="AN65" t="s">
        <v>863</v>
      </c>
      <c r="AO65" t="s">
        <v>1065</v>
      </c>
      <c r="AP65" t="s">
        <v>74</v>
      </c>
      <c r="AQ65" t="s">
        <v>74</v>
      </c>
      <c r="AR65" t="s">
        <v>1066</v>
      </c>
      <c r="AS65" t="s">
        <v>1067</v>
      </c>
      <c r="AT65" t="s">
        <v>94</v>
      </c>
      <c r="AU65">
        <v>2006</v>
      </c>
      <c r="AV65">
        <v>36</v>
      </c>
      <c r="AW65">
        <v>8</v>
      </c>
      <c r="AX65" t="s">
        <v>74</v>
      </c>
      <c r="AY65" t="s">
        <v>74</v>
      </c>
      <c r="AZ65" t="s">
        <v>74</v>
      </c>
      <c r="BA65" t="s">
        <v>74</v>
      </c>
      <c r="BB65">
        <v>1523</v>
      </c>
      <c r="BC65">
        <v>1552</v>
      </c>
      <c r="BD65" t="s">
        <v>74</v>
      </c>
      <c r="BE65" t="s">
        <v>1068</v>
      </c>
      <c r="BF65" t="str">
        <f>HYPERLINK("http://dx.doi.org/10.1175/JPO2930.1","http://dx.doi.org/10.1175/JPO2930.1")</f>
        <v>http://dx.doi.org/10.1175/JPO2930.1</v>
      </c>
      <c r="BG65" t="s">
        <v>74</v>
      </c>
      <c r="BH65" t="s">
        <v>74</v>
      </c>
      <c r="BI65">
        <v>30</v>
      </c>
      <c r="BJ65" t="s">
        <v>1069</v>
      </c>
      <c r="BK65" t="s">
        <v>97</v>
      </c>
      <c r="BL65" t="s">
        <v>1069</v>
      </c>
      <c r="BM65" t="s">
        <v>1070</v>
      </c>
      <c r="BN65" t="s">
        <v>74</v>
      </c>
      <c r="BO65" t="s">
        <v>460</v>
      </c>
      <c r="BP65" t="s">
        <v>74</v>
      </c>
      <c r="BQ65" t="s">
        <v>74</v>
      </c>
      <c r="BR65" t="s">
        <v>100</v>
      </c>
      <c r="BS65" t="s">
        <v>1071</v>
      </c>
      <c r="BT65" t="str">
        <f>HYPERLINK("https%3A%2F%2Fwww.webofscience.com%2Fwos%2Fwoscc%2Ffull-record%2FWOS:000240675800003","View Full Record in Web of Science")</f>
        <v>View Full Record in Web of Science</v>
      </c>
    </row>
    <row r="66" spans="1:72" x14ac:dyDescent="0.15">
      <c r="A66" t="s">
        <v>72</v>
      </c>
      <c r="B66" t="s">
        <v>1072</v>
      </c>
      <c r="C66" t="s">
        <v>74</v>
      </c>
      <c r="D66" t="s">
        <v>74</v>
      </c>
      <c r="E66" t="s">
        <v>74</v>
      </c>
      <c r="F66" t="s">
        <v>1073</v>
      </c>
      <c r="G66" t="s">
        <v>74</v>
      </c>
      <c r="H66" t="s">
        <v>74</v>
      </c>
      <c r="I66" t="s">
        <v>1074</v>
      </c>
      <c r="J66" t="s">
        <v>1056</v>
      </c>
      <c r="K66" t="s">
        <v>74</v>
      </c>
      <c r="L66" t="s">
        <v>74</v>
      </c>
      <c r="M66" t="s">
        <v>78</v>
      </c>
      <c r="N66" t="s">
        <v>79</v>
      </c>
      <c r="O66" t="s">
        <v>74</v>
      </c>
      <c r="P66" t="s">
        <v>74</v>
      </c>
      <c r="Q66" t="s">
        <v>74</v>
      </c>
      <c r="R66" t="s">
        <v>74</v>
      </c>
      <c r="S66" t="s">
        <v>74</v>
      </c>
      <c r="T66" t="s">
        <v>74</v>
      </c>
      <c r="U66" t="s">
        <v>1075</v>
      </c>
      <c r="V66" t="s">
        <v>1076</v>
      </c>
      <c r="W66" t="s">
        <v>1077</v>
      </c>
      <c r="X66" t="s">
        <v>1078</v>
      </c>
      <c r="Y66" t="s">
        <v>1079</v>
      </c>
      <c r="Z66" t="s">
        <v>1080</v>
      </c>
      <c r="AA66" t="s">
        <v>1081</v>
      </c>
      <c r="AB66" t="s">
        <v>1082</v>
      </c>
      <c r="AC66" t="s">
        <v>74</v>
      </c>
      <c r="AD66" t="s">
        <v>74</v>
      </c>
      <c r="AE66" t="s">
        <v>74</v>
      </c>
      <c r="AF66" t="s">
        <v>74</v>
      </c>
      <c r="AG66">
        <v>44</v>
      </c>
      <c r="AH66">
        <v>76</v>
      </c>
      <c r="AI66">
        <v>83</v>
      </c>
      <c r="AJ66">
        <v>0</v>
      </c>
      <c r="AK66">
        <v>9</v>
      </c>
      <c r="AL66" t="s">
        <v>861</v>
      </c>
      <c r="AM66" t="s">
        <v>862</v>
      </c>
      <c r="AN66" t="s">
        <v>863</v>
      </c>
      <c r="AO66" t="s">
        <v>1065</v>
      </c>
      <c r="AP66" t="s">
        <v>1083</v>
      </c>
      <c r="AQ66" t="s">
        <v>74</v>
      </c>
      <c r="AR66" t="s">
        <v>1066</v>
      </c>
      <c r="AS66" t="s">
        <v>1067</v>
      </c>
      <c r="AT66" t="s">
        <v>94</v>
      </c>
      <c r="AU66">
        <v>2006</v>
      </c>
      <c r="AV66">
        <v>36</v>
      </c>
      <c r="AW66">
        <v>8</v>
      </c>
      <c r="AX66" t="s">
        <v>74</v>
      </c>
      <c r="AY66" t="s">
        <v>74</v>
      </c>
      <c r="AZ66" t="s">
        <v>74</v>
      </c>
      <c r="BA66" t="s">
        <v>74</v>
      </c>
      <c r="BB66">
        <v>1626</v>
      </c>
      <c r="BC66">
        <v>1645</v>
      </c>
      <c r="BD66" t="s">
        <v>74</v>
      </c>
      <c r="BE66" t="s">
        <v>1084</v>
      </c>
      <c r="BF66" t="str">
        <f>HYPERLINK("http://dx.doi.org/10.1175/JPO2934.1","http://dx.doi.org/10.1175/JPO2934.1")</f>
        <v>http://dx.doi.org/10.1175/JPO2934.1</v>
      </c>
      <c r="BG66" t="s">
        <v>74</v>
      </c>
      <c r="BH66" t="s">
        <v>74</v>
      </c>
      <c r="BI66">
        <v>20</v>
      </c>
      <c r="BJ66" t="s">
        <v>1069</v>
      </c>
      <c r="BK66" t="s">
        <v>97</v>
      </c>
      <c r="BL66" t="s">
        <v>1069</v>
      </c>
      <c r="BM66" t="s">
        <v>1070</v>
      </c>
      <c r="BN66" t="s">
        <v>74</v>
      </c>
      <c r="BO66" t="s">
        <v>460</v>
      </c>
      <c r="BP66" t="s">
        <v>74</v>
      </c>
      <c r="BQ66" t="s">
        <v>74</v>
      </c>
      <c r="BR66" t="s">
        <v>100</v>
      </c>
      <c r="BS66" t="s">
        <v>1085</v>
      </c>
      <c r="BT66" t="str">
        <f>HYPERLINK("https%3A%2F%2Fwww.webofscience.com%2Fwos%2Fwoscc%2Ffull-record%2FWOS:000240675800008","View Full Record in Web of Science")</f>
        <v>View Full Record in Web of Science</v>
      </c>
    </row>
    <row r="67" spans="1:72" x14ac:dyDescent="0.15">
      <c r="A67" t="s">
        <v>72</v>
      </c>
      <c r="B67" t="s">
        <v>1086</v>
      </c>
      <c r="C67" t="s">
        <v>74</v>
      </c>
      <c r="D67" t="s">
        <v>74</v>
      </c>
      <c r="E67" t="s">
        <v>74</v>
      </c>
      <c r="F67" t="s">
        <v>1087</v>
      </c>
      <c r="G67" t="s">
        <v>74</v>
      </c>
      <c r="H67" t="s">
        <v>74</v>
      </c>
      <c r="I67" t="s">
        <v>1088</v>
      </c>
      <c r="J67" t="s">
        <v>1056</v>
      </c>
      <c r="K67" t="s">
        <v>74</v>
      </c>
      <c r="L67" t="s">
        <v>74</v>
      </c>
      <c r="M67" t="s">
        <v>78</v>
      </c>
      <c r="N67" t="s">
        <v>79</v>
      </c>
      <c r="O67" t="s">
        <v>74</v>
      </c>
      <c r="P67" t="s">
        <v>74</v>
      </c>
      <c r="Q67" t="s">
        <v>74</v>
      </c>
      <c r="R67" t="s">
        <v>74</v>
      </c>
      <c r="S67" t="s">
        <v>74</v>
      </c>
      <c r="T67" t="s">
        <v>74</v>
      </c>
      <c r="U67" t="s">
        <v>1089</v>
      </c>
      <c r="V67" t="s">
        <v>1090</v>
      </c>
      <c r="W67" t="s">
        <v>1091</v>
      </c>
      <c r="X67" t="s">
        <v>1092</v>
      </c>
      <c r="Y67" t="s">
        <v>1093</v>
      </c>
      <c r="Z67" t="s">
        <v>1094</v>
      </c>
      <c r="AA67" t="s">
        <v>74</v>
      </c>
      <c r="AB67" t="s">
        <v>74</v>
      </c>
      <c r="AC67" t="s">
        <v>74</v>
      </c>
      <c r="AD67" t="s">
        <v>74</v>
      </c>
      <c r="AE67" t="s">
        <v>74</v>
      </c>
      <c r="AF67" t="s">
        <v>74</v>
      </c>
      <c r="AG67">
        <v>33</v>
      </c>
      <c r="AH67">
        <v>10</v>
      </c>
      <c r="AI67">
        <v>12</v>
      </c>
      <c r="AJ67">
        <v>0</v>
      </c>
      <c r="AK67">
        <v>3</v>
      </c>
      <c r="AL67" t="s">
        <v>861</v>
      </c>
      <c r="AM67" t="s">
        <v>862</v>
      </c>
      <c r="AN67" t="s">
        <v>863</v>
      </c>
      <c r="AO67" t="s">
        <v>1065</v>
      </c>
      <c r="AP67" t="s">
        <v>74</v>
      </c>
      <c r="AQ67" t="s">
        <v>74</v>
      </c>
      <c r="AR67" t="s">
        <v>1066</v>
      </c>
      <c r="AS67" t="s">
        <v>1067</v>
      </c>
      <c r="AT67" t="s">
        <v>94</v>
      </c>
      <c r="AU67">
        <v>2006</v>
      </c>
      <c r="AV67">
        <v>36</v>
      </c>
      <c r="AW67">
        <v>8</v>
      </c>
      <c r="AX67" t="s">
        <v>74</v>
      </c>
      <c r="AY67" t="s">
        <v>74</v>
      </c>
      <c r="AZ67" t="s">
        <v>74</v>
      </c>
      <c r="BA67" t="s">
        <v>74</v>
      </c>
      <c r="BB67">
        <v>1660</v>
      </c>
      <c r="BC67">
        <v>1671</v>
      </c>
      <c r="BD67" t="s">
        <v>74</v>
      </c>
      <c r="BE67" t="s">
        <v>1095</v>
      </c>
      <c r="BF67" t="str">
        <f>HYPERLINK("http://dx.doi.org/10.1175/JPO2925.1","http://dx.doi.org/10.1175/JPO2925.1")</f>
        <v>http://dx.doi.org/10.1175/JPO2925.1</v>
      </c>
      <c r="BG67" t="s">
        <v>74</v>
      </c>
      <c r="BH67" t="s">
        <v>74</v>
      </c>
      <c r="BI67">
        <v>12</v>
      </c>
      <c r="BJ67" t="s">
        <v>1069</v>
      </c>
      <c r="BK67" t="s">
        <v>97</v>
      </c>
      <c r="BL67" t="s">
        <v>1069</v>
      </c>
      <c r="BM67" t="s">
        <v>1070</v>
      </c>
      <c r="BN67" t="s">
        <v>74</v>
      </c>
      <c r="BO67" t="s">
        <v>901</v>
      </c>
      <c r="BP67" t="s">
        <v>74</v>
      </c>
      <c r="BQ67" t="s">
        <v>74</v>
      </c>
      <c r="BR67" t="s">
        <v>100</v>
      </c>
      <c r="BS67" t="s">
        <v>1096</v>
      </c>
      <c r="BT67" t="str">
        <f>HYPERLINK("https%3A%2F%2Fwww.webofscience.com%2Fwos%2Fwoscc%2Ffull-record%2FWOS:000240675800010","View Full Record in Web of Science")</f>
        <v>View Full Record in Web of Science</v>
      </c>
    </row>
    <row r="68" spans="1:72" x14ac:dyDescent="0.15">
      <c r="A68" t="s">
        <v>72</v>
      </c>
      <c r="B68" t="s">
        <v>1097</v>
      </c>
      <c r="C68" t="s">
        <v>74</v>
      </c>
      <c r="D68" t="s">
        <v>74</v>
      </c>
      <c r="E68" t="s">
        <v>74</v>
      </c>
      <c r="F68" t="s">
        <v>1098</v>
      </c>
      <c r="G68" t="s">
        <v>74</v>
      </c>
      <c r="H68" t="s">
        <v>74</v>
      </c>
      <c r="I68" t="s">
        <v>1099</v>
      </c>
      <c r="J68" t="s">
        <v>1100</v>
      </c>
      <c r="K68" t="s">
        <v>74</v>
      </c>
      <c r="L68" t="s">
        <v>74</v>
      </c>
      <c r="M68" t="s">
        <v>78</v>
      </c>
      <c r="N68" t="s">
        <v>79</v>
      </c>
      <c r="O68" t="s">
        <v>74</v>
      </c>
      <c r="P68" t="s">
        <v>74</v>
      </c>
      <c r="Q68" t="s">
        <v>74</v>
      </c>
      <c r="R68" t="s">
        <v>74</v>
      </c>
      <c r="S68" t="s">
        <v>74</v>
      </c>
      <c r="T68" t="s">
        <v>74</v>
      </c>
      <c r="U68" t="s">
        <v>1101</v>
      </c>
      <c r="V68" t="s">
        <v>1102</v>
      </c>
      <c r="W68" t="s">
        <v>1103</v>
      </c>
      <c r="X68" t="s">
        <v>1104</v>
      </c>
      <c r="Y68" t="s">
        <v>1105</v>
      </c>
      <c r="Z68" t="s">
        <v>1106</v>
      </c>
      <c r="AA68" t="s">
        <v>74</v>
      </c>
      <c r="AB68" t="s">
        <v>1107</v>
      </c>
      <c r="AC68" t="s">
        <v>74</v>
      </c>
      <c r="AD68" t="s">
        <v>74</v>
      </c>
      <c r="AE68" t="s">
        <v>74</v>
      </c>
      <c r="AF68" t="s">
        <v>74</v>
      </c>
      <c r="AG68">
        <v>28</v>
      </c>
      <c r="AH68">
        <v>7</v>
      </c>
      <c r="AI68">
        <v>7</v>
      </c>
      <c r="AJ68">
        <v>0</v>
      </c>
      <c r="AK68">
        <v>3</v>
      </c>
      <c r="AL68" t="s">
        <v>1108</v>
      </c>
      <c r="AM68" t="s">
        <v>1109</v>
      </c>
      <c r="AN68" t="s">
        <v>1110</v>
      </c>
      <c r="AO68" t="s">
        <v>1111</v>
      </c>
      <c r="AP68" t="s">
        <v>74</v>
      </c>
      <c r="AQ68" t="s">
        <v>74</v>
      </c>
      <c r="AR68" t="s">
        <v>1112</v>
      </c>
      <c r="AS68" t="s">
        <v>1113</v>
      </c>
      <c r="AT68" t="s">
        <v>94</v>
      </c>
      <c r="AU68">
        <v>2006</v>
      </c>
      <c r="AV68" t="s">
        <v>74</v>
      </c>
      <c r="AW68">
        <v>100</v>
      </c>
      <c r="AX68" t="s">
        <v>74</v>
      </c>
      <c r="AY68" t="s">
        <v>74</v>
      </c>
      <c r="AZ68" t="s">
        <v>74</v>
      </c>
      <c r="BA68" t="s">
        <v>74</v>
      </c>
      <c r="BB68">
        <v>325</v>
      </c>
      <c r="BC68">
        <v>331</v>
      </c>
      <c r="BD68" t="s">
        <v>74</v>
      </c>
      <c r="BE68" t="s">
        <v>74</v>
      </c>
      <c r="BF68" t="s">
        <v>74</v>
      </c>
      <c r="BG68" t="s">
        <v>74</v>
      </c>
      <c r="BH68" t="s">
        <v>74</v>
      </c>
      <c r="BI68">
        <v>7</v>
      </c>
      <c r="BJ68" t="s">
        <v>1114</v>
      </c>
      <c r="BK68" t="s">
        <v>97</v>
      </c>
      <c r="BL68" t="s">
        <v>1114</v>
      </c>
      <c r="BM68" t="s">
        <v>1115</v>
      </c>
      <c r="BN68" t="s">
        <v>74</v>
      </c>
      <c r="BO68" t="s">
        <v>74</v>
      </c>
      <c r="BP68" t="s">
        <v>74</v>
      </c>
      <c r="BQ68" t="s">
        <v>74</v>
      </c>
      <c r="BR68" t="s">
        <v>100</v>
      </c>
      <c r="BS68" t="s">
        <v>1116</v>
      </c>
      <c r="BT68" t="str">
        <f>HYPERLINK("https%3A%2F%2Fwww.webofscience.com%2Fwos%2Fwoscc%2Ffull-record%2FWOS:000240473700022","View Full Record in Web of Science")</f>
        <v>View Full Record in Web of Science</v>
      </c>
    </row>
    <row r="69" spans="1:72" x14ac:dyDescent="0.15">
      <c r="A69" t="s">
        <v>72</v>
      </c>
      <c r="B69" t="s">
        <v>1117</v>
      </c>
      <c r="C69" t="s">
        <v>74</v>
      </c>
      <c r="D69" t="s">
        <v>74</v>
      </c>
      <c r="E69" t="s">
        <v>74</v>
      </c>
      <c r="F69" t="s">
        <v>1118</v>
      </c>
      <c r="G69" t="s">
        <v>74</v>
      </c>
      <c r="H69" t="s">
        <v>74</v>
      </c>
      <c r="I69" t="s">
        <v>1119</v>
      </c>
      <c r="J69" t="s">
        <v>1100</v>
      </c>
      <c r="K69" t="s">
        <v>74</v>
      </c>
      <c r="L69" t="s">
        <v>74</v>
      </c>
      <c r="M69" t="s">
        <v>78</v>
      </c>
      <c r="N69" t="s">
        <v>79</v>
      </c>
      <c r="O69" t="s">
        <v>74</v>
      </c>
      <c r="P69" t="s">
        <v>74</v>
      </c>
      <c r="Q69" t="s">
        <v>74</v>
      </c>
      <c r="R69" t="s">
        <v>74</v>
      </c>
      <c r="S69" t="s">
        <v>74</v>
      </c>
      <c r="T69" t="s">
        <v>1120</v>
      </c>
      <c r="U69" t="s">
        <v>1121</v>
      </c>
      <c r="V69" t="s">
        <v>1122</v>
      </c>
      <c r="W69" t="s">
        <v>1123</v>
      </c>
      <c r="X69" t="s">
        <v>1124</v>
      </c>
      <c r="Y69" t="s">
        <v>1125</v>
      </c>
      <c r="Z69" t="s">
        <v>1126</v>
      </c>
      <c r="AA69" t="s">
        <v>74</v>
      </c>
      <c r="AB69" t="s">
        <v>74</v>
      </c>
      <c r="AC69" t="s">
        <v>74</v>
      </c>
      <c r="AD69" t="s">
        <v>74</v>
      </c>
      <c r="AE69" t="s">
        <v>74</v>
      </c>
      <c r="AF69" t="s">
        <v>74</v>
      </c>
      <c r="AG69">
        <v>37</v>
      </c>
      <c r="AH69">
        <v>10</v>
      </c>
      <c r="AI69">
        <v>10</v>
      </c>
      <c r="AJ69">
        <v>0</v>
      </c>
      <c r="AK69">
        <v>3</v>
      </c>
      <c r="AL69" t="s">
        <v>1108</v>
      </c>
      <c r="AM69" t="s">
        <v>1109</v>
      </c>
      <c r="AN69" t="s">
        <v>1110</v>
      </c>
      <c r="AO69" t="s">
        <v>1111</v>
      </c>
      <c r="AP69" t="s">
        <v>74</v>
      </c>
      <c r="AQ69" t="s">
        <v>74</v>
      </c>
      <c r="AR69" t="s">
        <v>1112</v>
      </c>
      <c r="AS69" t="s">
        <v>1113</v>
      </c>
      <c r="AT69" t="s">
        <v>94</v>
      </c>
      <c r="AU69">
        <v>2006</v>
      </c>
      <c r="AV69" t="s">
        <v>74</v>
      </c>
      <c r="AW69">
        <v>100</v>
      </c>
      <c r="AX69" t="s">
        <v>74</v>
      </c>
      <c r="AY69" t="s">
        <v>74</v>
      </c>
      <c r="AZ69" t="s">
        <v>74</v>
      </c>
      <c r="BA69" t="s">
        <v>74</v>
      </c>
      <c r="BB69">
        <v>451</v>
      </c>
      <c r="BC69">
        <v>464</v>
      </c>
      <c r="BD69" t="s">
        <v>74</v>
      </c>
      <c r="BE69" t="s">
        <v>74</v>
      </c>
      <c r="BF69" t="s">
        <v>74</v>
      </c>
      <c r="BG69" t="s">
        <v>74</v>
      </c>
      <c r="BH69" t="s">
        <v>74</v>
      </c>
      <c r="BI69">
        <v>14</v>
      </c>
      <c r="BJ69" t="s">
        <v>1114</v>
      </c>
      <c r="BK69" t="s">
        <v>97</v>
      </c>
      <c r="BL69" t="s">
        <v>1114</v>
      </c>
      <c r="BM69" t="s">
        <v>1115</v>
      </c>
      <c r="BN69" t="s">
        <v>74</v>
      </c>
      <c r="BO69" t="s">
        <v>74</v>
      </c>
      <c r="BP69" t="s">
        <v>74</v>
      </c>
      <c r="BQ69" t="s">
        <v>74</v>
      </c>
      <c r="BR69" t="s">
        <v>100</v>
      </c>
      <c r="BS69" t="s">
        <v>1127</v>
      </c>
      <c r="BT69" t="str">
        <f>HYPERLINK("https%3A%2F%2Fwww.webofscience.com%2Fwos%2Fwoscc%2Ffull-record%2FWOS:000240473700031","View Full Record in Web of Science")</f>
        <v>View Full Record in Web of Science</v>
      </c>
    </row>
    <row r="70" spans="1:72" x14ac:dyDescent="0.15">
      <c r="A70" t="s">
        <v>72</v>
      </c>
      <c r="B70" t="s">
        <v>1128</v>
      </c>
      <c r="C70" t="s">
        <v>74</v>
      </c>
      <c r="D70" t="s">
        <v>74</v>
      </c>
      <c r="E70" t="s">
        <v>74</v>
      </c>
      <c r="F70" t="s">
        <v>1129</v>
      </c>
      <c r="G70" t="s">
        <v>74</v>
      </c>
      <c r="H70" t="s">
        <v>74</v>
      </c>
      <c r="I70" t="s">
        <v>1130</v>
      </c>
      <c r="J70" t="s">
        <v>1131</v>
      </c>
      <c r="K70" t="s">
        <v>74</v>
      </c>
      <c r="L70" t="s">
        <v>74</v>
      </c>
      <c r="M70" t="s">
        <v>78</v>
      </c>
      <c r="N70" t="s">
        <v>79</v>
      </c>
      <c r="O70" t="s">
        <v>74</v>
      </c>
      <c r="P70" t="s">
        <v>74</v>
      </c>
      <c r="Q70" t="s">
        <v>74</v>
      </c>
      <c r="R70" t="s">
        <v>74</v>
      </c>
      <c r="S70" t="s">
        <v>74</v>
      </c>
      <c r="T70" t="s">
        <v>74</v>
      </c>
      <c r="U70" t="s">
        <v>1132</v>
      </c>
      <c r="V70" t="s">
        <v>1133</v>
      </c>
      <c r="W70" t="s">
        <v>1134</v>
      </c>
      <c r="X70" t="s">
        <v>1135</v>
      </c>
      <c r="Y70" t="s">
        <v>1136</v>
      </c>
      <c r="Z70" t="s">
        <v>1137</v>
      </c>
      <c r="AA70" t="s">
        <v>74</v>
      </c>
      <c r="AB70" t="s">
        <v>1138</v>
      </c>
      <c r="AC70" t="s">
        <v>74</v>
      </c>
      <c r="AD70" t="s">
        <v>74</v>
      </c>
      <c r="AE70" t="s">
        <v>74</v>
      </c>
      <c r="AF70" t="s">
        <v>74</v>
      </c>
      <c r="AG70">
        <v>50</v>
      </c>
      <c r="AH70">
        <v>34</v>
      </c>
      <c r="AI70">
        <v>34</v>
      </c>
      <c r="AJ70">
        <v>0</v>
      </c>
      <c r="AK70">
        <v>14</v>
      </c>
      <c r="AL70" t="s">
        <v>1139</v>
      </c>
      <c r="AM70" t="s">
        <v>476</v>
      </c>
      <c r="AN70" t="s">
        <v>1140</v>
      </c>
      <c r="AO70" t="s">
        <v>1141</v>
      </c>
      <c r="AP70" t="s">
        <v>1142</v>
      </c>
      <c r="AQ70" t="s">
        <v>74</v>
      </c>
      <c r="AR70" t="s">
        <v>1143</v>
      </c>
      <c r="AS70" t="s">
        <v>1144</v>
      </c>
      <c r="AT70" t="s">
        <v>94</v>
      </c>
      <c r="AU70">
        <v>2006</v>
      </c>
      <c r="AV70">
        <v>86</v>
      </c>
      <c r="AW70">
        <v>4</v>
      </c>
      <c r="AX70" t="s">
        <v>74</v>
      </c>
      <c r="AY70" t="s">
        <v>74</v>
      </c>
      <c r="AZ70" t="s">
        <v>74</v>
      </c>
      <c r="BA70" t="s">
        <v>74</v>
      </c>
      <c r="BB70">
        <v>711</v>
      </c>
      <c r="BC70">
        <v>725</v>
      </c>
      <c r="BD70" t="s">
        <v>74</v>
      </c>
      <c r="BE70" t="s">
        <v>1145</v>
      </c>
      <c r="BF70" t="str">
        <f>HYPERLINK("http://dx.doi.org/10.1017/S0025315406013610","http://dx.doi.org/10.1017/S0025315406013610")</f>
        <v>http://dx.doi.org/10.1017/S0025315406013610</v>
      </c>
      <c r="BG70" t="s">
        <v>74</v>
      </c>
      <c r="BH70" t="s">
        <v>74</v>
      </c>
      <c r="BI70">
        <v>15</v>
      </c>
      <c r="BJ70" t="s">
        <v>1146</v>
      </c>
      <c r="BK70" t="s">
        <v>97</v>
      </c>
      <c r="BL70" t="s">
        <v>1146</v>
      </c>
      <c r="BM70" t="s">
        <v>1147</v>
      </c>
      <c r="BN70" t="s">
        <v>74</v>
      </c>
      <c r="BO70" t="s">
        <v>74</v>
      </c>
      <c r="BP70" t="s">
        <v>74</v>
      </c>
      <c r="BQ70" t="s">
        <v>74</v>
      </c>
      <c r="BR70" t="s">
        <v>100</v>
      </c>
      <c r="BS70" t="s">
        <v>1148</v>
      </c>
      <c r="BT70" t="str">
        <f>HYPERLINK("https%3A%2F%2Fwww.webofscience.com%2Fwos%2Fwoscc%2Ffull-record%2FWOS:000239370300009","View Full Record in Web of Science")</f>
        <v>View Full Record in Web of Science</v>
      </c>
    </row>
    <row r="71" spans="1:72" x14ac:dyDescent="0.15">
      <c r="A71" t="s">
        <v>72</v>
      </c>
      <c r="B71" t="s">
        <v>1149</v>
      </c>
      <c r="C71" t="s">
        <v>74</v>
      </c>
      <c r="D71" t="s">
        <v>74</v>
      </c>
      <c r="E71" t="s">
        <v>74</v>
      </c>
      <c r="F71" t="s">
        <v>1150</v>
      </c>
      <c r="G71" t="s">
        <v>74</v>
      </c>
      <c r="H71" t="s">
        <v>74</v>
      </c>
      <c r="I71" t="s">
        <v>1151</v>
      </c>
      <c r="J71" t="s">
        <v>1131</v>
      </c>
      <c r="K71" t="s">
        <v>74</v>
      </c>
      <c r="L71" t="s">
        <v>74</v>
      </c>
      <c r="M71" t="s">
        <v>78</v>
      </c>
      <c r="N71" t="s">
        <v>79</v>
      </c>
      <c r="O71" t="s">
        <v>74</v>
      </c>
      <c r="P71" t="s">
        <v>74</v>
      </c>
      <c r="Q71" t="s">
        <v>74</v>
      </c>
      <c r="R71" t="s">
        <v>74</v>
      </c>
      <c r="S71" t="s">
        <v>74</v>
      </c>
      <c r="T71" t="s">
        <v>74</v>
      </c>
      <c r="U71" t="s">
        <v>1152</v>
      </c>
      <c r="V71" t="s">
        <v>1153</v>
      </c>
      <c r="W71" t="s">
        <v>1154</v>
      </c>
      <c r="X71" t="s">
        <v>1155</v>
      </c>
      <c r="Y71" t="s">
        <v>1156</v>
      </c>
      <c r="Z71" t="s">
        <v>1157</v>
      </c>
      <c r="AA71" t="s">
        <v>74</v>
      </c>
      <c r="AB71" t="s">
        <v>1158</v>
      </c>
      <c r="AC71" t="s">
        <v>74</v>
      </c>
      <c r="AD71" t="s">
        <v>74</v>
      </c>
      <c r="AE71" t="s">
        <v>74</v>
      </c>
      <c r="AF71" t="s">
        <v>74</v>
      </c>
      <c r="AG71">
        <v>33</v>
      </c>
      <c r="AH71">
        <v>12</v>
      </c>
      <c r="AI71">
        <v>12</v>
      </c>
      <c r="AJ71">
        <v>0</v>
      </c>
      <c r="AK71">
        <v>6</v>
      </c>
      <c r="AL71" t="s">
        <v>1139</v>
      </c>
      <c r="AM71" t="s">
        <v>476</v>
      </c>
      <c r="AN71" t="s">
        <v>1140</v>
      </c>
      <c r="AO71" t="s">
        <v>1141</v>
      </c>
      <c r="AP71" t="s">
        <v>1142</v>
      </c>
      <c r="AQ71" t="s">
        <v>74</v>
      </c>
      <c r="AR71" t="s">
        <v>1143</v>
      </c>
      <c r="AS71" t="s">
        <v>1144</v>
      </c>
      <c r="AT71" t="s">
        <v>94</v>
      </c>
      <c r="AU71">
        <v>2006</v>
      </c>
      <c r="AV71">
        <v>86</v>
      </c>
      <c r="AW71">
        <v>4</v>
      </c>
      <c r="AX71" t="s">
        <v>74</v>
      </c>
      <c r="AY71" t="s">
        <v>74</v>
      </c>
      <c r="AZ71" t="s">
        <v>74</v>
      </c>
      <c r="BA71" t="s">
        <v>74</v>
      </c>
      <c r="BB71">
        <v>743</v>
      </c>
      <c r="BC71">
        <v>749</v>
      </c>
      <c r="BD71" t="s">
        <v>74</v>
      </c>
      <c r="BE71" t="s">
        <v>1159</v>
      </c>
      <c r="BF71" t="str">
        <f>HYPERLINK("http://dx.doi.org/10.1017/S0025315406013658","http://dx.doi.org/10.1017/S0025315406013658")</f>
        <v>http://dx.doi.org/10.1017/S0025315406013658</v>
      </c>
      <c r="BG71" t="s">
        <v>74</v>
      </c>
      <c r="BH71" t="s">
        <v>74</v>
      </c>
      <c r="BI71">
        <v>7</v>
      </c>
      <c r="BJ71" t="s">
        <v>1146</v>
      </c>
      <c r="BK71" t="s">
        <v>97</v>
      </c>
      <c r="BL71" t="s">
        <v>1146</v>
      </c>
      <c r="BM71" t="s">
        <v>1147</v>
      </c>
      <c r="BN71" t="s">
        <v>74</v>
      </c>
      <c r="BO71" t="s">
        <v>886</v>
      </c>
      <c r="BP71" t="s">
        <v>74</v>
      </c>
      <c r="BQ71" t="s">
        <v>74</v>
      </c>
      <c r="BR71" t="s">
        <v>100</v>
      </c>
      <c r="BS71" t="s">
        <v>1160</v>
      </c>
      <c r="BT71" t="str">
        <f>HYPERLINK("https%3A%2F%2Fwww.webofscience.com%2Fwos%2Fwoscc%2Ffull-record%2FWOS:000239370300013","View Full Record in Web of Science")</f>
        <v>View Full Record in Web of Science</v>
      </c>
    </row>
    <row r="72" spans="1:72" x14ac:dyDescent="0.15">
      <c r="A72" t="s">
        <v>72</v>
      </c>
      <c r="B72" t="s">
        <v>1161</v>
      </c>
      <c r="C72" t="s">
        <v>74</v>
      </c>
      <c r="D72" t="s">
        <v>74</v>
      </c>
      <c r="E72" t="s">
        <v>74</v>
      </c>
      <c r="F72" t="s">
        <v>1162</v>
      </c>
      <c r="G72" t="s">
        <v>74</v>
      </c>
      <c r="H72" t="s">
        <v>74</v>
      </c>
      <c r="I72" t="s">
        <v>1163</v>
      </c>
      <c r="J72" t="s">
        <v>1164</v>
      </c>
      <c r="K72" t="s">
        <v>74</v>
      </c>
      <c r="L72" t="s">
        <v>74</v>
      </c>
      <c r="M72" t="s">
        <v>78</v>
      </c>
      <c r="N72" t="s">
        <v>79</v>
      </c>
      <c r="O72" t="s">
        <v>74</v>
      </c>
      <c r="P72" t="s">
        <v>74</v>
      </c>
      <c r="Q72" t="s">
        <v>74</v>
      </c>
      <c r="R72" t="s">
        <v>74</v>
      </c>
      <c r="S72" t="s">
        <v>74</v>
      </c>
      <c r="T72" t="s">
        <v>1165</v>
      </c>
      <c r="U72" t="s">
        <v>1166</v>
      </c>
      <c r="V72" t="s">
        <v>1167</v>
      </c>
      <c r="W72" t="s">
        <v>1168</v>
      </c>
      <c r="X72" t="s">
        <v>407</v>
      </c>
      <c r="Y72" t="s">
        <v>1169</v>
      </c>
      <c r="Z72" t="s">
        <v>1170</v>
      </c>
      <c r="AA72" t="s">
        <v>410</v>
      </c>
      <c r="AB72" t="s">
        <v>1171</v>
      </c>
      <c r="AC72" t="s">
        <v>74</v>
      </c>
      <c r="AD72" t="s">
        <v>74</v>
      </c>
      <c r="AE72" t="s">
        <v>74</v>
      </c>
      <c r="AF72" t="s">
        <v>74</v>
      </c>
      <c r="AG72">
        <v>42</v>
      </c>
      <c r="AH72">
        <v>33</v>
      </c>
      <c r="AI72">
        <v>36</v>
      </c>
      <c r="AJ72">
        <v>0</v>
      </c>
      <c r="AK72">
        <v>15</v>
      </c>
      <c r="AL72" t="s">
        <v>115</v>
      </c>
      <c r="AM72" t="s">
        <v>116</v>
      </c>
      <c r="AN72" t="s">
        <v>117</v>
      </c>
      <c r="AO72" t="s">
        <v>1172</v>
      </c>
      <c r="AP72" t="s">
        <v>1173</v>
      </c>
      <c r="AQ72" t="s">
        <v>74</v>
      </c>
      <c r="AR72" t="s">
        <v>1174</v>
      </c>
      <c r="AS72" t="s">
        <v>1175</v>
      </c>
      <c r="AT72" t="s">
        <v>94</v>
      </c>
      <c r="AU72">
        <v>2006</v>
      </c>
      <c r="AV72">
        <v>17</v>
      </c>
      <c r="AW72">
        <v>4</v>
      </c>
      <c r="AX72" t="s">
        <v>74</v>
      </c>
      <c r="AY72" t="s">
        <v>74</v>
      </c>
      <c r="AZ72" t="s">
        <v>74</v>
      </c>
      <c r="BA72" t="s">
        <v>74</v>
      </c>
      <c r="BB72">
        <v>529</v>
      </c>
      <c r="BC72">
        <v>538</v>
      </c>
      <c r="BD72" t="s">
        <v>74</v>
      </c>
      <c r="BE72" t="s">
        <v>1176</v>
      </c>
      <c r="BF72" t="str">
        <f>HYPERLINK("http://dx.doi.org/10.1111/j.1654-1103.2006.tb02474.x","http://dx.doi.org/10.1111/j.1654-1103.2006.tb02474.x")</f>
        <v>http://dx.doi.org/10.1111/j.1654-1103.2006.tb02474.x</v>
      </c>
      <c r="BG72" t="s">
        <v>74</v>
      </c>
      <c r="BH72" t="s">
        <v>74</v>
      </c>
      <c r="BI72">
        <v>10</v>
      </c>
      <c r="BJ72" t="s">
        <v>1177</v>
      </c>
      <c r="BK72" t="s">
        <v>97</v>
      </c>
      <c r="BL72" t="s">
        <v>1178</v>
      </c>
      <c r="BM72" t="s">
        <v>1179</v>
      </c>
      <c r="BN72" t="s">
        <v>74</v>
      </c>
      <c r="BO72" t="s">
        <v>74</v>
      </c>
      <c r="BP72" t="s">
        <v>74</v>
      </c>
      <c r="BQ72" t="s">
        <v>74</v>
      </c>
      <c r="BR72" t="s">
        <v>100</v>
      </c>
      <c r="BS72" t="s">
        <v>1180</v>
      </c>
      <c r="BT72" t="str">
        <f>HYPERLINK("https%3A%2F%2Fwww.webofscience.com%2Fwos%2Fwoscc%2Ffull-record%2FWOS:000241092700014","View Full Record in Web of Science")</f>
        <v>View Full Record in Web of Science</v>
      </c>
    </row>
    <row r="73" spans="1:72" x14ac:dyDescent="0.15">
      <c r="A73" t="s">
        <v>72</v>
      </c>
      <c r="B73" t="s">
        <v>1181</v>
      </c>
      <c r="C73" t="s">
        <v>74</v>
      </c>
      <c r="D73" t="s">
        <v>74</v>
      </c>
      <c r="E73" t="s">
        <v>74</v>
      </c>
      <c r="F73" t="s">
        <v>1182</v>
      </c>
      <c r="G73" t="s">
        <v>74</v>
      </c>
      <c r="H73" t="s">
        <v>74</v>
      </c>
      <c r="I73" t="s">
        <v>1183</v>
      </c>
      <c r="J73" t="s">
        <v>1184</v>
      </c>
      <c r="K73" t="s">
        <v>74</v>
      </c>
      <c r="L73" t="s">
        <v>74</v>
      </c>
      <c r="M73" t="s">
        <v>78</v>
      </c>
      <c r="N73" t="s">
        <v>79</v>
      </c>
      <c r="O73" t="s">
        <v>74</v>
      </c>
      <c r="P73" t="s">
        <v>74</v>
      </c>
      <c r="Q73" t="s">
        <v>74</v>
      </c>
      <c r="R73" t="s">
        <v>74</v>
      </c>
      <c r="S73" t="s">
        <v>74</v>
      </c>
      <c r="T73" t="s">
        <v>1185</v>
      </c>
      <c r="U73" t="s">
        <v>1186</v>
      </c>
      <c r="V73" t="s">
        <v>1187</v>
      </c>
      <c r="W73" t="s">
        <v>1188</v>
      </c>
      <c r="X73" t="s">
        <v>1189</v>
      </c>
      <c r="Y73" t="s">
        <v>1190</v>
      </c>
      <c r="Z73" t="s">
        <v>1191</v>
      </c>
      <c r="AA73" t="s">
        <v>1192</v>
      </c>
      <c r="AB73" t="s">
        <v>1193</v>
      </c>
      <c r="AC73" t="s">
        <v>74</v>
      </c>
      <c r="AD73" t="s">
        <v>74</v>
      </c>
      <c r="AE73" t="s">
        <v>74</v>
      </c>
      <c r="AF73" t="s">
        <v>74</v>
      </c>
      <c r="AG73">
        <v>67</v>
      </c>
      <c r="AH73">
        <v>17</v>
      </c>
      <c r="AI73">
        <v>21</v>
      </c>
      <c r="AJ73">
        <v>0</v>
      </c>
      <c r="AK73">
        <v>18</v>
      </c>
      <c r="AL73" t="s">
        <v>115</v>
      </c>
      <c r="AM73" t="s">
        <v>116</v>
      </c>
      <c r="AN73" t="s">
        <v>117</v>
      </c>
      <c r="AO73" t="s">
        <v>1194</v>
      </c>
      <c r="AP73" t="s">
        <v>1195</v>
      </c>
      <c r="AQ73" t="s">
        <v>74</v>
      </c>
      <c r="AR73" t="s">
        <v>1196</v>
      </c>
      <c r="AS73" t="s">
        <v>1197</v>
      </c>
      <c r="AT73" t="s">
        <v>94</v>
      </c>
      <c r="AU73">
        <v>2006</v>
      </c>
      <c r="AV73">
        <v>44</v>
      </c>
      <c r="AW73">
        <v>3</v>
      </c>
      <c r="AX73" t="s">
        <v>74</v>
      </c>
      <c r="AY73" t="s">
        <v>74</v>
      </c>
      <c r="AZ73" t="s">
        <v>74</v>
      </c>
      <c r="BA73" t="s">
        <v>74</v>
      </c>
      <c r="BB73">
        <v>200</v>
      </c>
      <c r="BC73">
        <v>211</v>
      </c>
      <c r="BD73" t="s">
        <v>74</v>
      </c>
      <c r="BE73" t="s">
        <v>1198</v>
      </c>
      <c r="BF73" t="str">
        <f>HYPERLINK("http://dx.doi.org/10.1111/j.1439-0469.2006.00358.x","http://dx.doi.org/10.1111/j.1439-0469.2006.00358.x")</f>
        <v>http://dx.doi.org/10.1111/j.1439-0469.2006.00358.x</v>
      </c>
      <c r="BG73" t="s">
        <v>74</v>
      </c>
      <c r="BH73" t="s">
        <v>74</v>
      </c>
      <c r="BI73">
        <v>12</v>
      </c>
      <c r="BJ73" t="s">
        <v>1199</v>
      </c>
      <c r="BK73" t="s">
        <v>97</v>
      </c>
      <c r="BL73" t="s">
        <v>1199</v>
      </c>
      <c r="BM73" t="s">
        <v>1200</v>
      </c>
      <c r="BN73" t="s">
        <v>74</v>
      </c>
      <c r="BO73" t="s">
        <v>74</v>
      </c>
      <c r="BP73" t="s">
        <v>74</v>
      </c>
      <c r="BQ73" t="s">
        <v>74</v>
      </c>
      <c r="BR73" t="s">
        <v>100</v>
      </c>
      <c r="BS73" t="s">
        <v>1201</v>
      </c>
      <c r="BT73" t="str">
        <f>HYPERLINK("https%3A%2F%2Fwww.webofscience.com%2Fwos%2Fwoscc%2Ffull-record%2FWOS:000239193000004","View Full Record in Web of Science")</f>
        <v>View Full Record in Web of Science</v>
      </c>
    </row>
    <row r="74" spans="1:72" x14ac:dyDescent="0.15">
      <c r="A74" t="s">
        <v>72</v>
      </c>
      <c r="B74" t="s">
        <v>1202</v>
      </c>
      <c r="C74" t="s">
        <v>74</v>
      </c>
      <c r="D74" t="s">
        <v>74</v>
      </c>
      <c r="E74" t="s">
        <v>74</v>
      </c>
      <c r="F74" t="s">
        <v>1203</v>
      </c>
      <c r="G74" t="s">
        <v>74</v>
      </c>
      <c r="H74" t="s">
        <v>74</v>
      </c>
      <c r="I74" t="s">
        <v>1204</v>
      </c>
      <c r="J74" t="s">
        <v>1205</v>
      </c>
      <c r="K74" t="s">
        <v>74</v>
      </c>
      <c r="L74" t="s">
        <v>74</v>
      </c>
      <c r="M74" t="s">
        <v>78</v>
      </c>
      <c r="N74" t="s">
        <v>79</v>
      </c>
      <c r="O74" t="s">
        <v>74</v>
      </c>
      <c r="P74" t="s">
        <v>74</v>
      </c>
      <c r="Q74" t="s">
        <v>74</v>
      </c>
      <c r="R74" t="s">
        <v>74</v>
      </c>
      <c r="S74" t="s">
        <v>74</v>
      </c>
      <c r="T74" t="s">
        <v>1206</v>
      </c>
      <c r="U74" t="s">
        <v>1207</v>
      </c>
      <c r="V74" t="s">
        <v>1208</v>
      </c>
      <c r="W74" t="s">
        <v>1209</v>
      </c>
      <c r="X74" t="s">
        <v>1210</v>
      </c>
      <c r="Y74" t="s">
        <v>1211</v>
      </c>
      <c r="Z74" t="s">
        <v>1212</v>
      </c>
      <c r="AA74" t="s">
        <v>1213</v>
      </c>
      <c r="AB74" t="s">
        <v>1214</v>
      </c>
      <c r="AC74" t="s">
        <v>74</v>
      </c>
      <c r="AD74" t="s">
        <v>74</v>
      </c>
      <c r="AE74" t="s">
        <v>74</v>
      </c>
      <c r="AF74" t="s">
        <v>74</v>
      </c>
      <c r="AG74">
        <v>53</v>
      </c>
      <c r="AH74">
        <v>25</v>
      </c>
      <c r="AI74">
        <v>35</v>
      </c>
      <c r="AJ74">
        <v>0</v>
      </c>
      <c r="AK74">
        <v>34</v>
      </c>
      <c r="AL74" t="s">
        <v>115</v>
      </c>
      <c r="AM74" t="s">
        <v>116</v>
      </c>
      <c r="AN74" t="s">
        <v>117</v>
      </c>
      <c r="AO74" t="s">
        <v>1215</v>
      </c>
      <c r="AP74" t="s">
        <v>1216</v>
      </c>
      <c r="AQ74" t="s">
        <v>74</v>
      </c>
      <c r="AR74" t="s">
        <v>1217</v>
      </c>
      <c r="AS74" t="s">
        <v>1218</v>
      </c>
      <c r="AT74" t="s">
        <v>94</v>
      </c>
      <c r="AU74">
        <v>2006</v>
      </c>
      <c r="AV74">
        <v>269</v>
      </c>
      <c r="AW74">
        <v>4</v>
      </c>
      <c r="AX74" t="s">
        <v>74</v>
      </c>
      <c r="AY74" t="s">
        <v>74</v>
      </c>
      <c r="AZ74" t="s">
        <v>74</v>
      </c>
      <c r="BA74" t="s">
        <v>74</v>
      </c>
      <c r="BB74">
        <v>506</v>
      </c>
      <c r="BC74">
        <v>513</v>
      </c>
      <c r="BD74" t="s">
        <v>74</v>
      </c>
      <c r="BE74" t="s">
        <v>1219</v>
      </c>
      <c r="BF74" t="str">
        <f>HYPERLINK("http://dx.doi.org/10.1111/j.1469-7998.2006.00090.x","http://dx.doi.org/10.1111/j.1469-7998.2006.00090.x")</f>
        <v>http://dx.doi.org/10.1111/j.1469-7998.2006.00090.x</v>
      </c>
      <c r="BG74" t="s">
        <v>74</v>
      </c>
      <c r="BH74" t="s">
        <v>74</v>
      </c>
      <c r="BI74">
        <v>8</v>
      </c>
      <c r="BJ74" t="s">
        <v>1000</v>
      </c>
      <c r="BK74" t="s">
        <v>97</v>
      </c>
      <c r="BL74" t="s">
        <v>1000</v>
      </c>
      <c r="BM74" t="s">
        <v>1220</v>
      </c>
      <c r="BN74" t="s">
        <v>74</v>
      </c>
      <c r="BO74" t="s">
        <v>74</v>
      </c>
      <c r="BP74" t="s">
        <v>74</v>
      </c>
      <c r="BQ74" t="s">
        <v>74</v>
      </c>
      <c r="BR74" t="s">
        <v>100</v>
      </c>
      <c r="BS74" t="s">
        <v>1221</v>
      </c>
      <c r="BT74" t="str">
        <f>HYPERLINK("https%3A%2F%2Fwww.webofscience.com%2Fwos%2Fwoscc%2Ffull-record%2FWOS:000239009600014","View Full Record in Web of Science")</f>
        <v>View Full Record in Web of Science</v>
      </c>
    </row>
    <row r="75" spans="1:72" x14ac:dyDescent="0.15">
      <c r="A75" t="s">
        <v>72</v>
      </c>
      <c r="B75" t="s">
        <v>1222</v>
      </c>
      <c r="C75" t="s">
        <v>74</v>
      </c>
      <c r="D75" t="s">
        <v>74</v>
      </c>
      <c r="E75" t="s">
        <v>74</v>
      </c>
      <c r="F75" t="s">
        <v>1223</v>
      </c>
      <c r="G75" t="s">
        <v>74</v>
      </c>
      <c r="H75" t="s">
        <v>74</v>
      </c>
      <c r="I75" t="s">
        <v>1224</v>
      </c>
      <c r="J75" t="s">
        <v>1225</v>
      </c>
      <c r="K75" t="s">
        <v>74</v>
      </c>
      <c r="L75" t="s">
        <v>74</v>
      </c>
      <c r="M75" t="s">
        <v>78</v>
      </c>
      <c r="N75" t="s">
        <v>1226</v>
      </c>
      <c r="O75" t="s">
        <v>1227</v>
      </c>
      <c r="P75" t="s">
        <v>1228</v>
      </c>
      <c r="Q75" t="s">
        <v>1229</v>
      </c>
      <c r="R75" t="s">
        <v>74</v>
      </c>
      <c r="S75" t="s">
        <v>74</v>
      </c>
      <c r="T75" t="s">
        <v>1230</v>
      </c>
      <c r="U75" t="s">
        <v>1231</v>
      </c>
      <c r="V75" t="s">
        <v>1232</v>
      </c>
      <c r="W75" t="s">
        <v>1233</v>
      </c>
      <c r="X75" t="s">
        <v>1234</v>
      </c>
      <c r="Y75" t="s">
        <v>1235</v>
      </c>
      <c r="Z75" t="s">
        <v>1236</v>
      </c>
      <c r="AA75" t="s">
        <v>1237</v>
      </c>
      <c r="AB75" t="s">
        <v>1238</v>
      </c>
      <c r="AC75" t="s">
        <v>74</v>
      </c>
      <c r="AD75" t="s">
        <v>74</v>
      </c>
      <c r="AE75" t="s">
        <v>74</v>
      </c>
      <c r="AF75" t="s">
        <v>74</v>
      </c>
      <c r="AG75">
        <v>287</v>
      </c>
      <c r="AH75">
        <v>78</v>
      </c>
      <c r="AI75">
        <v>87</v>
      </c>
      <c r="AJ75">
        <v>0</v>
      </c>
      <c r="AK75">
        <v>28</v>
      </c>
      <c r="AL75" t="s">
        <v>519</v>
      </c>
      <c r="AM75" t="s">
        <v>520</v>
      </c>
      <c r="AN75" t="s">
        <v>521</v>
      </c>
      <c r="AO75" t="s">
        <v>1239</v>
      </c>
      <c r="AP75" t="s">
        <v>1240</v>
      </c>
      <c r="AQ75" t="s">
        <v>74</v>
      </c>
      <c r="AR75" t="s">
        <v>1241</v>
      </c>
      <c r="AS75" t="s">
        <v>1242</v>
      </c>
      <c r="AT75" t="s">
        <v>626</v>
      </c>
      <c r="AU75">
        <v>2006</v>
      </c>
      <c r="AV75">
        <v>100</v>
      </c>
      <c r="AW75" t="s">
        <v>1243</v>
      </c>
      <c r="AX75" t="s">
        <v>74</v>
      </c>
      <c r="AY75" t="s">
        <v>74</v>
      </c>
      <c r="AZ75" t="s">
        <v>74</v>
      </c>
      <c r="BA75" t="s">
        <v>74</v>
      </c>
      <c r="BB75">
        <v>166</v>
      </c>
      <c r="BC75">
        <v>189</v>
      </c>
      <c r="BD75" t="s">
        <v>74</v>
      </c>
      <c r="BE75" t="s">
        <v>1244</v>
      </c>
      <c r="BF75" t="str">
        <f>HYPERLINK("http://dx.doi.org/10.1016/j.marchem.2005.10.011","http://dx.doi.org/10.1016/j.marchem.2005.10.011")</f>
        <v>http://dx.doi.org/10.1016/j.marchem.2005.10.011</v>
      </c>
      <c r="BG75" t="s">
        <v>74</v>
      </c>
      <c r="BH75" t="s">
        <v>74</v>
      </c>
      <c r="BI75">
        <v>24</v>
      </c>
      <c r="BJ75" t="s">
        <v>1245</v>
      </c>
      <c r="BK75" t="s">
        <v>668</v>
      </c>
      <c r="BL75" t="s">
        <v>1246</v>
      </c>
      <c r="BM75" t="s">
        <v>1247</v>
      </c>
      <c r="BN75" t="s">
        <v>74</v>
      </c>
      <c r="BO75" t="s">
        <v>74</v>
      </c>
      <c r="BP75" t="s">
        <v>74</v>
      </c>
      <c r="BQ75" t="s">
        <v>74</v>
      </c>
      <c r="BR75" t="s">
        <v>100</v>
      </c>
      <c r="BS75" t="s">
        <v>1248</v>
      </c>
      <c r="BT75" t="str">
        <f>HYPERLINK("https%3A%2F%2Fwww.webofscience.com%2Fwos%2Fwoscc%2Ffull-record%2FWOS:000238016800002","View Full Record in Web of Science")</f>
        <v>View Full Record in Web of Science</v>
      </c>
    </row>
    <row r="76" spans="1:72" x14ac:dyDescent="0.15">
      <c r="A76" t="s">
        <v>72</v>
      </c>
      <c r="B76" t="s">
        <v>1249</v>
      </c>
      <c r="C76" t="s">
        <v>74</v>
      </c>
      <c r="D76" t="s">
        <v>74</v>
      </c>
      <c r="E76" t="s">
        <v>74</v>
      </c>
      <c r="F76" t="s">
        <v>1250</v>
      </c>
      <c r="G76" t="s">
        <v>74</v>
      </c>
      <c r="H76" t="s">
        <v>74</v>
      </c>
      <c r="I76" t="s">
        <v>1251</v>
      </c>
      <c r="J76" t="s">
        <v>1225</v>
      </c>
      <c r="K76" t="s">
        <v>74</v>
      </c>
      <c r="L76" t="s">
        <v>74</v>
      </c>
      <c r="M76" t="s">
        <v>78</v>
      </c>
      <c r="N76" t="s">
        <v>1226</v>
      </c>
      <c r="O76" t="s">
        <v>1227</v>
      </c>
      <c r="P76" t="s">
        <v>1228</v>
      </c>
      <c r="Q76" t="s">
        <v>1229</v>
      </c>
      <c r="R76" t="s">
        <v>74</v>
      </c>
      <c r="S76" t="s">
        <v>74</v>
      </c>
      <c r="T76" t="s">
        <v>1252</v>
      </c>
      <c r="U76" t="s">
        <v>1253</v>
      </c>
      <c r="V76" t="s">
        <v>1254</v>
      </c>
      <c r="W76" t="s">
        <v>1255</v>
      </c>
      <c r="X76" t="s">
        <v>1256</v>
      </c>
      <c r="Y76" t="s">
        <v>1257</v>
      </c>
      <c r="Z76" t="s">
        <v>1258</v>
      </c>
      <c r="AA76" t="s">
        <v>1259</v>
      </c>
      <c r="AB76" t="s">
        <v>1260</v>
      </c>
      <c r="AC76" t="s">
        <v>74</v>
      </c>
      <c r="AD76" t="s">
        <v>74</v>
      </c>
      <c r="AE76" t="s">
        <v>74</v>
      </c>
      <c r="AF76" t="s">
        <v>74</v>
      </c>
      <c r="AG76">
        <v>54</v>
      </c>
      <c r="AH76">
        <v>27</v>
      </c>
      <c r="AI76">
        <v>31</v>
      </c>
      <c r="AJ76">
        <v>0</v>
      </c>
      <c r="AK76">
        <v>7</v>
      </c>
      <c r="AL76" t="s">
        <v>1261</v>
      </c>
      <c r="AM76" t="s">
        <v>520</v>
      </c>
      <c r="AN76" t="s">
        <v>1262</v>
      </c>
      <c r="AO76" t="s">
        <v>1239</v>
      </c>
      <c r="AP76" t="s">
        <v>74</v>
      </c>
      <c r="AQ76" t="s">
        <v>74</v>
      </c>
      <c r="AR76" t="s">
        <v>1241</v>
      </c>
      <c r="AS76" t="s">
        <v>1242</v>
      </c>
      <c r="AT76" t="s">
        <v>626</v>
      </c>
      <c r="AU76">
        <v>2006</v>
      </c>
      <c r="AV76">
        <v>100</v>
      </c>
      <c r="AW76" t="s">
        <v>1243</v>
      </c>
      <c r="AX76" t="s">
        <v>74</v>
      </c>
      <c r="AY76" t="s">
        <v>74</v>
      </c>
      <c r="AZ76" t="s">
        <v>74</v>
      </c>
      <c r="BA76" t="s">
        <v>74</v>
      </c>
      <c r="BB76">
        <v>299</v>
      </c>
      <c r="BC76">
        <v>313</v>
      </c>
      <c r="BD76" t="s">
        <v>74</v>
      </c>
      <c r="BE76" t="s">
        <v>1263</v>
      </c>
      <c r="BF76" t="str">
        <f>HYPERLINK("http://dx.doi.org/10.1016/j.marchem.2005.10.019","http://dx.doi.org/10.1016/j.marchem.2005.10.019")</f>
        <v>http://dx.doi.org/10.1016/j.marchem.2005.10.019</v>
      </c>
      <c r="BG76" t="s">
        <v>74</v>
      </c>
      <c r="BH76" t="s">
        <v>74</v>
      </c>
      <c r="BI76">
        <v>15</v>
      </c>
      <c r="BJ76" t="s">
        <v>1245</v>
      </c>
      <c r="BK76" t="s">
        <v>668</v>
      </c>
      <c r="BL76" t="s">
        <v>1246</v>
      </c>
      <c r="BM76" t="s">
        <v>1247</v>
      </c>
      <c r="BN76" t="s">
        <v>74</v>
      </c>
      <c r="BO76" t="s">
        <v>74</v>
      </c>
      <c r="BP76" t="s">
        <v>74</v>
      </c>
      <c r="BQ76" t="s">
        <v>74</v>
      </c>
      <c r="BR76" t="s">
        <v>100</v>
      </c>
      <c r="BS76" t="s">
        <v>1264</v>
      </c>
      <c r="BT76" t="str">
        <f>HYPERLINK("https%3A%2F%2Fwww.webofscience.com%2Fwos%2Fwoscc%2Ffull-record%2FWOS:000238016800010","View Full Record in Web of Science")</f>
        <v>View Full Record in Web of Science</v>
      </c>
    </row>
    <row r="77" spans="1:72" x14ac:dyDescent="0.15">
      <c r="A77" t="s">
        <v>72</v>
      </c>
      <c r="B77" t="s">
        <v>1265</v>
      </c>
      <c r="C77" t="s">
        <v>74</v>
      </c>
      <c r="D77" t="s">
        <v>74</v>
      </c>
      <c r="E77" t="s">
        <v>74</v>
      </c>
      <c r="F77" t="s">
        <v>1266</v>
      </c>
      <c r="G77" t="s">
        <v>74</v>
      </c>
      <c r="H77" t="s">
        <v>74</v>
      </c>
      <c r="I77" t="s">
        <v>1267</v>
      </c>
      <c r="J77" t="s">
        <v>1225</v>
      </c>
      <c r="K77" t="s">
        <v>74</v>
      </c>
      <c r="L77" t="s">
        <v>74</v>
      </c>
      <c r="M77" t="s">
        <v>78</v>
      </c>
      <c r="N77" t="s">
        <v>1226</v>
      </c>
      <c r="O77" t="s">
        <v>1227</v>
      </c>
      <c r="P77" t="s">
        <v>1228</v>
      </c>
      <c r="Q77" t="s">
        <v>1229</v>
      </c>
      <c r="R77" t="s">
        <v>74</v>
      </c>
      <c r="S77" t="s">
        <v>74</v>
      </c>
      <c r="T77" t="s">
        <v>1268</v>
      </c>
      <c r="U77" t="s">
        <v>1269</v>
      </c>
      <c r="V77" t="s">
        <v>1270</v>
      </c>
      <c r="W77" t="s">
        <v>1271</v>
      </c>
      <c r="X77" t="s">
        <v>1272</v>
      </c>
      <c r="Y77" t="s">
        <v>1273</v>
      </c>
      <c r="Z77" t="s">
        <v>1274</v>
      </c>
      <c r="AA77" t="s">
        <v>1275</v>
      </c>
      <c r="AB77" t="s">
        <v>1276</v>
      </c>
      <c r="AC77" t="s">
        <v>74</v>
      </c>
      <c r="AD77" t="s">
        <v>74</v>
      </c>
      <c r="AE77" t="s">
        <v>74</v>
      </c>
      <c r="AF77" t="s">
        <v>74</v>
      </c>
      <c r="AG77">
        <v>59</v>
      </c>
      <c r="AH77">
        <v>37</v>
      </c>
      <c r="AI77">
        <v>38</v>
      </c>
      <c r="AJ77">
        <v>0</v>
      </c>
      <c r="AK77">
        <v>3</v>
      </c>
      <c r="AL77" t="s">
        <v>519</v>
      </c>
      <c r="AM77" t="s">
        <v>520</v>
      </c>
      <c r="AN77" t="s">
        <v>521</v>
      </c>
      <c r="AO77" t="s">
        <v>1239</v>
      </c>
      <c r="AP77" t="s">
        <v>1240</v>
      </c>
      <c r="AQ77" t="s">
        <v>74</v>
      </c>
      <c r="AR77" t="s">
        <v>1241</v>
      </c>
      <c r="AS77" t="s">
        <v>1242</v>
      </c>
      <c r="AT77" t="s">
        <v>626</v>
      </c>
      <c r="AU77">
        <v>2006</v>
      </c>
      <c r="AV77">
        <v>100</v>
      </c>
      <c r="AW77" t="s">
        <v>1243</v>
      </c>
      <c r="AX77" t="s">
        <v>74</v>
      </c>
      <c r="AY77" t="s">
        <v>74</v>
      </c>
      <c r="AZ77" t="s">
        <v>74</v>
      </c>
      <c r="BA77" t="s">
        <v>74</v>
      </c>
      <c r="BB77">
        <v>354</v>
      </c>
      <c r="BC77">
        <v>365</v>
      </c>
      <c r="BD77" t="s">
        <v>74</v>
      </c>
      <c r="BE77" t="s">
        <v>1277</v>
      </c>
      <c r="BF77" t="str">
        <f>HYPERLINK("http://dx.doi.org/10.1016/j.marchem.2005.10.022","http://dx.doi.org/10.1016/j.marchem.2005.10.022")</f>
        <v>http://dx.doi.org/10.1016/j.marchem.2005.10.022</v>
      </c>
      <c r="BG77" t="s">
        <v>74</v>
      </c>
      <c r="BH77" t="s">
        <v>74</v>
      </c>
      <c r="BI77">
        <v>12</v>
      </c>
      <c r="BJ77" t="s">
        <v>1245</v>
      </c>
      <c r="BK77" t="s">
        <v>668</v>
      </c>
      <c r="BL77" t="s">
        <v>1246</v>
      </c>
      <c r="BM77" t="s">
        <v>1247</v>
      </c>
      <c r="BN77" t="s">
        <v>74</v>
      </c>
      <c r="BO77" t="s">
        <v>74</v>
      </c>
      <c r="BP77" t="s">
        <v>74</v>
      </c>
      <c r="BQ77" t="s">
        <v>74</v>
      </c>
      <c r="BR77" t="s">
        <v>100</v>
      </c>
      <c r="BS77" t="s">
        <v>1278</v>
      </c>
      <c r="BT77" t="str">
        <f>HYPERLINK("https%3A%2F%2Fwww.webofscience.com%2Fwos%2Fwoscc%2Ffull-record%2FWOS:000238016800014","View Full Record in Web of Science")</f>
        <v>View Full Record in Web of Science</v>
      </c>
    </row>
    <row r="78" spans="1:72" x14ac:dyDescent="0.15">
      <c r="A78" t="s">
        <v>72</v>
      </c>
      <c r="B78" t="s">
        <v>1279</v>
      </c>
      <c r="C78" t="s">
        <v>74</v>
      </c>
      <c r="D78" t="s">
        <v>74</v>
      </c>
      <c r="E78" t="s">
        <v>74</v>
      </c>
      <c r="F78" t="s">
        <v>1279</v>
      </c>
      <c r="G78" t="s">
        <v>74</v>
      </c>
      <c r="H78" t="s">
        <v>74</v>
      </c>
      <c r="I78" t="s">
        <v>1280</v>
      </c>
      <c r="J78" t="s">
        <v>1281</v>
      </c>
      <c r="K78" t="s">
        <v>74</v>
      </c>
      <c r="L78" t="s">
        <v>74</v>
      </c>
      <c r="M78" t="s">
        <v>78</v>
      </c>
      <c r="N78" t="s">
        <v>1282</v>
      </c>
      <c r="O78" t="s">
        <v>74</v>
      </c>
      <c r="P78" t="s">
        <v>74</v>
      </c>
      <c r="Q78" t="s">
        <v>74</v>
      </c>
      <c r="R78" t="s">
        <v>74</v>
      </c>
      <c r="S78" t="s">
        <v>74</v>
      </c>
      <c r="T78" t="s">
        <v>74</v>
      </c>
      <c r="U78" t="s">
        <v>74</v>
      </c>
      <c r="V78" t="s">
        <v>74</v>
      </c>
      <c r="W78" t="s">
        <v>74</v>
      </c>
      <c r="X78" t="s">
        <v>74</v>
      </c>
      <c r="Y78" t="s">
        <v>74</v>
      </c>
      <c r="Z78" t="s">
        <v>74</v>
      </c>
      <c r="AA78" t="s">
        <v>74</v>
      </c>
      <c r="AB78" t="s">
        <v>74</v>
      </c>
      <c r="AC78" t="s">
        <v>74</v>
      </c>
      <c r="AD78" t="s">
        <v>74</v>
      </c>
      <c r="AE78" t="s">
        <v>74</v>
      </c>
      <c r="AF78" t="s">
        <v>74</v>
      </c>
      <c r="AG78">
        <v>0</v>
      </c>
      <c r="AH78">
        <v>0</v>
      </c>
      <c r="AI78">
        <v>0</v>
      </c>
      <c r="AJ78">
        <v>0</v>
      </c>
      <c r="AK78">
        <v>0</v>
      </c>
      <c r="AL78" t="s">
        <v>387</v>
      </c>
      <c r="AM78" t="s">
        <v>388</v>
      </c>
      <c r="AN78" t="s">
        <v>389</v>
      </c>
      <c r="AO78" t="s">
        <v>1283</v>
      </c>
      <c r="AP78" t="s">
        <v>1284</v>
      </c>
      <c r="AQ78" t="s">
        <v>74</v>
      </c>
      <c r="AR78" t="s">
        <v>1285</v>
      </c>
      <c r="AS78" t="s">
        <v>1286</v>
      </c>
      <c r="AT78" t="s">
        <v>94</v>
      </c>
      <c r="AU78">
        <v>2006</v>
      </c>
      <c r="AV78">
        <v>52</v>
      </c>
      <c r="AW78">
        <v>8</v>
      </c>
      <c r="AX78" t="s">
        <v>74</v>
      </c>
      <c r="AY78" t="s">
        <v>74</v>
      </c>
      <c r="AZ78" t="s">
        <v>74</v>
      </c>
      <c r="BA78" t="s">
        <v>74</v>
      </c>
      <c r="BB78">
        <v>838</v>
      </c>
      <c r="BC78">
        <v>838</v>
      </c>
      <c r="BD78" t="s">
        <v>74</v>
      </c>
      <c r="BE78" t="s">
        <v>74</v>
      </c>
      <c r="BF78" t="s">
        <v>74</v>
      </c>
      <c r="BG78" t="s">
        <v>74</v>
      </c>
      <c r="BH78" t="s">
        <v>74</v>
      </c>
      <c r="BI78">
        <v>1</v>
      </c>
      <c r="BJ78" t="s">
        <v>1287</v>
      </c>
      <c r="BK78" t="s">
        <v>97</v>
      </c>
      <c r="BL78" t="s">
        <v>1288</v>
      </c>
      <c r="BM78" t="s">
        <v>1289</v>
      </c>
      <c r="BN78" t="s">
        <v>74</v>
      </c>
      <c r="BO78" t="s">
        <v>74</v>
      </c>
      <c r="BP78" t="s">
        <v>74</v>
      </c>
      <c r="BQ78" t="s">
        <v>74</v>
      </c>
      <c r="BR78" t="s">
        <v>100</v>
      </c>
      <c r="BS78" t="s">
        <v>1290</v>
      </c>
      <c r="BT78" t="str">
        <f>HYPERLINK("https%3A%2F%2Fwww.webofscience.com%2Fwos%2Fwoscc%2Ffull-record%2FWOS:000240693400007","View Full Record in Web of Science")</f>
        <v>View Full Record in Web of Science</v>
      </c>
    </row>
    <row r="79" spans="1:72" x14ac:dyDescent="0.15">
      <c r="A79" t="s">
        <v>72</v>
      </c>
      <c r="B79" t="s">
        <v>1291</v>
      </c>
      <c r="C79" t="s">
        <v>74</v>
      </c>
      <c r="D79" t="s">
        <v>74</v>
      </c>
      <c r="E79" t="s">
        <v>74</v>
      </c>
      <c r="F79" t="s">
        <v>1291</v>
      </c>
      <c r="G79" t="s">
        <v>74</v>
      </c>
      <c r="H79" t="s">
        <v>74</v>
      </c>
      <c r="I79" t="s">
        <v>1292</v>
      </c>
      <c r="J79" t="s">
        <v>1293</v>
      </c>
      <c r="K79" t="s">
        <v>74</v>
      </c>
      <c r="L79" t="s">
        <v>74</v>
      </c>
      <c r="M79" t="s">
        <v>78</v>
      </c>
      <c r="N79" t="s">
        <v>79</v>
      </c>
      <c r="O79" t="s">
        <v>74</v>
      </c>
      <c r="P79" t="s">
        <v>74</v>
      </c>
      <c r="Q79" t="s">
        <v>74</v>
      </c>
      <c r="R79" t="s">
        <v>74</v>
      </c>
      <c r="S79" t="s">
        <v>74</v>
      </c>
      <c r="T79" t="s">
        <v>1294</v>
      </c>
      <c r="U79" t="s">
        <v>1295</v>
      </c>
      <c r="V79" t="s">
        <v>1296</v>
      </c>
      <c r="W79" t="s">
        <v>1297</v>
      </c>
      <c r="X79" t="s">
        <v>1298</v>
      </c>
      <c r="Y79" t="s">
        <v>1299</v>
      </c>
      <c r="Z79" t="s">
        <v>1300</v>
      </c>
      <c r="AA79" t="s">
        <v>1301</v>
      </c>
      <c r="AB79" t="s">
        <v>1302</v>
      </c>
      <c r="AC79" t="s">
        <v>74</v>
      </c>
      <c r="AD79" t="s">
        <v>74</v>
      </c>
      <c r="AE79" t="s">
        <v>74</v>
      </c>
      <c r="AF79" t="s">
        <v>74</v>
      </c>
      <c r="AG79">
        <v>72</v>
      </c>
      <c r="AH79">
        <v>19</v>
      </c>
      <c r="AI79">
        <v>22</v>
      </c>
      <c r="AJ79">
        <v>1</v>
      </c>
      <c r="AK79">
        <v>11</v>
      </c>
      <c r="AL79" t="s">
        <v>519</v>
      </c>
      <c r="AM79" t="s">
        <v>520</v>
      </c>
      <c r="AN79" t="s">
        <v>521</v>
      </c>
      <c r="AO79" t="s">
        <v>1303</v>
      </c>
      <c r="AP79" t="s">
        <v>1304</v>
      </c>
      <c r="AQ79" t="s">
        <v>74</v>
      </c>
      <c r="AR79" t="s">
        <v>1305</v>
      </c>
      <c r="AS79" t="s">
        <v>1306</v>
      </c>
      <c r="AT79" t="s">
        <v>1307</v>
      </c>
      <c r="AU79">
        <v>2006</v>
      </c>
      <c r="AV79">
        <v>38</v>
      </c>
      <c r="AW79" t="s">
        <v>1308</v>
      </c>
      <c r="AX79" t="s">
        <v>74</v>
      </c>
      <c r="AY79" t="s">
        <v>74</v>
      </c>
      <c r="AZ79" t="s">
        <v>74</v>
      </c>
      <c r="BA79" t="s">
        <v>74</v>
      </c>
      <c r="BB79">
        <v>801</v>
      </c>
      <c r="BC79">
        <v>817</v>
      </c>
      <c r="BD79" t="s">
        <v>74</v>
      </c>
      <c r="BE79" t="s">
        <v>1309</v>
      </c>
      <c r="BF79" t="str">
        <f>HYPERLINK("http://dx.doi.org/10.1016/j.mechmat.2005.06.015","http://dx.doi.org/10.1016/j.mechmat.2005.06.015")</f>
        <v>http://dx.doi.org/10.1016/j.mechmat.2005.06.015</v>
      </c>
      <c r="BG79" t="s">
        <v>74</v>
      </c>
      <c r="BH79" t="s">
        <v>74</v>
      </c>
      <c r="BI79">
        <v>17</v>
      </c>
      <c r="BJ79" t="s">
        <v>1310</v>
      </c>
      <c r="BK79" t="s">
        <v>97</v>
      </c>
      <c r="BL79" t="s">
        <v>1311</v>
      </c>
      <c r="BM79" t="s">
        <v>1312</v>
      </c>
      <c r="BN79" t="s">
        <v>74</v>
      </c>
      <c r="BO79" t="s">
        <v>74</v>
      </c>
      <c r="BP79" t="s">
        <v>74</v>
      </c>
      <c r="BQ79" t="s">
        <v>74</v>
      </c>
      <c r="BR79" t="s">
        <v>100</v>
      </c>
      <c r="BS79" t="s">
        <v>1313</v>
      </c>
      <c r="BT79" t="str">
        <f>HYPERLINK("https%3A%2F%2Fwww.webofscience.com%2Fwos%2Fwoscc%2Ffull-record%2FWOS:000237467100010","View Full Record in Web of Science")</f>
        <v>View Full Record in Web of Science</v>
      </c>
    </row>
    <row r="80" spans="1:72" x14ac:dyDescent="0.15">
      <c r="A80" t="s">
        <v>72</v>
      </c>
      <c r="B80" t="s">
        <v>1314</v>
      </c>
      <c r="C80" t="s">
        <v>74</v>
      </c>
      <c r="D80" t="s">
        <v>74</v>
      </c>
      <c r="E80" t="s">
        <v>74</v>
      </c>
      <c r="F80" t="s">
        <v>1315</v>
      </c>
      <c r="G80" t="s">
        <v>74</v>
      </c>
      <c r="H80" t="s">
        <v>74</v>
      </c>
      <c r="I80" t="s">
        <v>1316</v>
      </c>
      <c r="J80" t="s">
        <v>1317</v>
      </c>
      <c r="K80" t="s">
        <v>74</v>
      </c>
      <c r="L80" t="s">
        <v>74</v>
      </c>
      <c r="M80" t="s">
        <v>78</v>
      </c>
      <c r="N80" t="s">
        <v>79</v>
      </c>
      <c r="O80" t="s">
        <v>74</v>
      </c>
      <c r="P80" t="s">
        <v>74</v>
      </c>
      <c r="Q80" t="s">
        <v>74</v>
      </c>
      <c r="R80" t="s">
        <v>74</v>
      </c>
      <c r="S80" t="s">
        <v>74</v>
      </c>
      <c r="T80" t="s">
        <v>1318</v>
      </c>
      <c r="U80" t="s">
        <v>1319</v>
      </c>
      <c r="V80" t="s">
        <v>1320</v>
      </c>
      <c r="W80" t="s">
        <v>1321</v>
      </c>
      <c r="X80" t="s">
        <v>1322</v>
      </c>
      <c r="Y80" t="s">
        <v>1323</v>
      </c>
      <c r="Z80" t="s">
        <v>1324</v>
      </c>
      <c r="AA80" t="s">
        <v>1325</v>
      </c>
      <c r="AB80" t="s">
        <v>1326</v>
      </c>
      <c r="AC80" t="s">
        <v>1327</v>
      </c>
      <c r="AD80" t="s">
        <v>1328</v>
      </c>
      <c r="AE80" t="s">
        <v>74</v>
      </c>
      <c r="AF80" t="s">
        <v>74</v>
      </c>
      <c r="AG80">
        <v>35</v>
      </c>
      <c r="AH80">
        <v>22</v>
      </c>
      <c r="AI80">
        <v>23</v>
      </c>
      <c r="AJ80">
        <v>0</v>
      </c>
      <c r="AK80">
        <v>4</v>
      </c>
      <c r="AL80" t="s">
        <v>580</v>
      </c>
      <c r="AM80" t="s">
        <v>388</v>
      </c>
      <c r="AN80" t="s">
        <v>581</v>
      </c>
      <c r="AO80" t="s">
        <v>1329</v>
      </c>
      <c r="AP80" t="s">
        <v>1330</v>
      </c>
      <c r="AQ80" t="s">
        <v>74</v>
      </c>
      <c r="AR80" t="s">
        <v>1331</v>
      </c>
      <c r="AS80" t="s">
        <v>1332</v>
      </c>
      <c r="AT80" t="s">
        <v>94</v>
      </c>
      <c r="AU80">
        <v>2006</v>
      </c>
      <c r="AV80">
        <v>44</v>
      </c>
      <c r="AW80">
        <v>5</v>
      </c>
      <c r="AX80" t="s">
        <v>74</v>
      </c>
      <c r="AY80" t="s">
        <v>74</v>
      </c>
      <c r="AZ80" t="s">
        <v>74</v>
      </c>
      <c r="BA80" t="s">
        <v>74</v>
      </c>
      <c r="BB80">
        <v>451</v>
      </c>
      <c r="BC80">
        <v>459</v>
      </c>
      <c r="BD80" t="s">
        <v>74</v>
      </c>
      <c r="BE80" t="s">
        <v>1333</v>
      </c>
      <c r="BF80" t="str">
        <f>HYPERLINK("http://dx.doi.org/10.1080/13693780600796538","http://dx.doi.org/10.1080/13693780600796538")</f>
        <v>http://dx.doi.org/10.1080/13693780600796538</v>
      </c>
      <c r="BG80" t="s">
        <v>74</v>
      </c>
      <c r="BH80" t="s">
        <v>74</v>
      </c>
      <c r="BI80">
        <v>9</v>
      </c>
      <c r="BJ80" t="s">
        <v>1334</v>
      </c>
      <c r="BK80" t="s">
        <v>97</v>
      </c>
      <c r="BL80" t="s">
        <v>1334</v>
      </c>
      <c r="BM80" t="s">
        <v>1335</v>
      </c>
      <c r="BN80">
        <v>16882612</v>
      </c>
      <c r="BO80" t="s">
        <v>460</v>
      </c>
      <c r="BP80" t="s">
        <v>74</v>
      </c>
      <c r="BQ80" t="s">
        <v>74</v>
      </c>
      <c r="BR80" t="s">
        <v>100</v>
      </c>
      <c r="BS80" t="s">
        <v>1336</v>
      </c>
      <c r="BT80" t="str">
        <f>HYPERLINK("https%3A%2F%2Fwww.webofscience.com%2Fwos%2Fwoscc%2Ffull-record%2FWOS:000240494500008","View Full Record in Web of Science")</f>
        <v>View Full Record in Web of Science</v>
      </c>
    </row>
    <row r="81" spans="1:72" x14ac:dyDescent="0.15">
      <c r="A81" t="s">
        <v>72</v>
      </c>
      <c r="B81" t="s">
        <v>1337</v>
      </c>
      <c r="C81" t="s">
        <v>74</v>
      </c>
      <c r="D81" t="s">
        <v>74</v>
      </c>
      <c r="E81" t="s">
        <v>74</v>
      </c>
      <c r="F81" t="s">
        <v>1338</v>
      </c>
      <c r="G81" t="s">
        <v>74</v>
      </c>
      <c r="H81" t="s">
        <v>74</v>
      </c>
      <c r="I81" t="s">
        <v>1339</v>
      </c>
      <c r="J81" t="s">
        <v>1340</v>
      </c>
      <c r="K81" t="s">
        <v>74</v>
      </c>
      <c r="L81" t="s">
        <v>74</v>
      </c>
      <c r="M81" t="s">
        <v>78</v>
      </c>
      <c r="N81" t="s">
        <v>79</v>
      </c>
      <c r="O81" t="s">
        <v>74</v>
      </c>
      <c r="P81" t="s">
        <v>74</v>
      </c>
      <c r="Q81" t="s">
        <v>74</v>
      </c>
      <c r="R81" t="s">
        <v>74</v>
      </c>
      <c r="S81" t="s">
        <v>74</v>
      </c>
      <c r="T81" t="s">
        <v>74</v>
      </c>
      <c r="U81" t="s">
        <v>1341</v>
      </c>
      <c r="V81" t="s">
        <v>1342</v>
      </c>
      <c r="W81" t="s">
        <v>1343</v>
      </c>
      <c r="X81" t="s">
        <v>1344</v>
      </c>
      <c r="Y81" t="s">
        <v>1345</v>
      </c>
      <c r="Z81" t="s">
        <v>1346</v>
      </c>
      <c r="AA81" t="s">
        <v>74</v>
      </c>
      <c r="AB81" t="s">
        <v>74</v>
      </c>
      <c r="AC81" t="s">
        <v>74</v>
      </c>
      <c r="AD81" t="s">
        <v>74</v>
      </c>
      <c r="AE81" t="s">
        <v>74</v>
      </c>
      <c r="AF81" t="s">
        <v>74</v>
      </c>
      <c r="AG81">
        <v>80</v>
      </c>
      <c r="AH81">
        <v>24</v>
      </c>
      <c r="AI81">
        <v>24</v>
      </c>
      <c r="AJ81">
        <v>0</v>
      </c>
      <c r="AK81">
        <v>3</v>
      </c>
      <c r="AL81" t="s">
        <v>115</v>
      </c>
      <c r="AM81" t="s">
        <v>116</v>
      </c>
      <c r="AN81" t="s">
        <v>117</v>
      </c>
      <c r="AO81" t="s">
        <v>1347</v>
      </c>
      <c r="AP81" t="s">
        <v>1348</v>
      </c>
      <c r="AQ81" t="s">
        <v>74</v>
      </c>
      <c r="AR81" t="s">
        <v>1349</v>
      </c>
      <c r="AS81" t="s">
        <v>1350</v>
      </c>
      <c r="AT81" t="s">
        <v>94</v>
      </c>
      <c r="AU81">
        <v>2006</v>
      </c>
      <c r="AV81">
        <v>41</v>
      </c>
      <c r="AW81">
        <v>8</v>
      </c>
      <c r="AX81" t="s">
        <v>74</v>
      </c>
      <c r="AY81" t="s">
        <v>74</v>
      </c>
      <c r="AZ81" t="s">
        <v>74</v>
      </c>
      <c r="BA81" t="s">
        <v>74</v>
      </c>
      <c r="BB81">
        <v>1199</v>
      </c>
      <c r="BC81">
        <v>1217</v>
      </c>
      <c r="BD81" t="s">
        <v>74</v>
      </c>
      <c r="BE81" t="s">
        <v>1351</v>
      </c>
      <c r="BF81" t="str">
        <f>HYPERLINK("http://dx.doi.org/10.1111/j.1945-5100.2006.tb00516.x","http://dx.doi.org/10.1111/j.1945-5100.2006.tb00516.x")</f>
        <v>http://dx.doi.org/10.1111/j.1945-5100.2006.tb00516.x</v>
      </c>
      <c r="BG81" t="s">
        <v>74</v>
      </c>
      <c r="BH81" t="s">
        <v>74</v>
      </c>
      <c r="BI81">
        <v>19</v>
      </c>
      <c r="BJ81" t="s">
        <v>608</v>
      </c>
      <c r="BK81" t="s">
        <v>97</v>
      </c>
      <c r="BL81" t="s">
        <v>608</v>
      </c>
      <c r="BM81" t="s">
        <v>1352</v>
      </c>
      <c r="BN81" t="s">
        <v>74</v>
      </c>
      <c r="BO81" t="s">
        <v>460</v>
      </c>
      <c r="BP81" t="s">
        <v>74</v>
      </c>
      <c r="BQ81" t="s">
        <v>74</v>
      </c>
      <c r="BR81" t="s">
        <v>100</v>
      </c>
      <c r="BS81" t="s">
        <v>1353</v>
      </c>
      <c r="BT81" t="str">
        <f>HYPERLINK("https%3A%2F%2Fwww.webofscience.com%2Fwos%2Fwoscc%2Ffull-record%2FWOS:000239910600007","View Full Record in Web of Science")</f>
        <v>View Full Record in Web of Science</v>
      </c>
    </row>
    <row r="82" spans="1:72" x14ac:dyDescent="0.15">
      <c r="A82" t="s">
        <v>72</v>
      </c>
      <c r="B82" t="s">
        <v>1354</v>
      </c>
      <c r="C82" t="s">
        <v>74</v>
      </c>
      <c r="D82" t="s">
        <v>74</v>
      </c>
      <c r="E82" t="s">
        <v>74</v>
      </c>
      <c r="F82" t="s">
        <v>1355</v>
      </c>
      <c r="G82" t="s">
        <v>74</v>
      </c>
      <c r="H82" t="s">
        <v>74</v>
      </c>
      <c r="I82" t="s">
        <v>1356</v>
      </c>
      <c r="J82" t="s">
        <v>1340</v>
      </c>
      <c r="K82" t="s">
        <v>74</v>
      </c>
      <c r="L82" t="s">
        <v>74</v>
      </c>
      <c r="M82" t="s">
        <v>78</v>
      </c>
      <c r="N82" t="s">
        <v>79</v>
      </c>
      <c r="O82" t="s">
        <v>74</v>
      </c>
      <c r="P82" t="s">
        <v>74</v>
      </c>
      <c r="Q82" t="s">
        <v>74</v>
      </c>
      <c r="R82" t="s">
        <v>74</v>
      </c>
      <c r="S82" t="s">
        <v>74</v>
      </c>
      <c r="T82" t="s">
        <v>74</v>
      </c>
      <c r="U82" t="s">
        <v>1357</v>
      </c>
      <c r="V82" t="s">
        <v>1358</v>
      </c>
      <c r="W82" t="s">
        <v>1359</v>
      </c>
      <c r="X82" t="s">
        <v>1360</v>
      </c>
      <c r="Y82" t="s">
        <v>1361</v>
      </c>
      <c r="Z82" t="s">
        <v>1362</v>
      </c>
      <c r="AA82" t="s">
        <v>1363</v>
      </c>
      <c r="AB82" t="s">
        <v>1364</v>
      </c>
      <c r="AC82" t="s">
        <v>74</v>
      </c>
      <c r="AD82" t="s">
        <v>74</v>
      </c>
      <c r="AE82" t="s">
        <v>74</v>
      </c>
      <c r="AF82" t="s">
        <v>74</v>
      </c>
      <c r="AG82">
        <v>72</v>
      </c>
      <c r="AH82">
        <v>15</v>
      </c>
      <c r="AI82">
        <v>15</v>
      </c>
      <c r="AJ82">
        <v>0</v>
      </c>
      <c r="AK82">
        <v>9</v>
      </c>
      <c r="AL82" t="s">
        <v>115</v>
      </c>
      <c r="AM82" t="s">
        <v>116</v>
      </c>
      <c r="AN82" t="s">
        <v>117</v>
      </c>
      <c r="AO82" t="s">
        <v>1347</v>
      </c>
      <c r="AP82" t="s">
        <v>1348</v>
      </c>
      <c r="AQ82" t="s">
        <v>74</v>
      </c>
      <c r="AR82" t="s">
        <v>1349</v>
      </c>
      <c r="AS82" t="s">
        <v>1350</v>
      </c>
      <c r="AT82" t="s">
        <v>94</v>
      </c>
      <c r="AU82">
        <v>2006</v>
      </c>
      <c r="AV82">
        <v>41</v>
      </c>
      <c r="AW82">
        <v>8</v>
      </c>
      <c r="AX82" t="s">
        <v>74</v>
      </c>
      <c r="AY82" t="s">
        <v>74</v>
      </c>
      <c r="AZ82" t="s">
        <v>74</v>
      </c>
      <c r="BA82" t="s">
        <v>74</v>
      </c>
      <c r="BB82">
        <v>1219</v>
      </c>
      <c r="BC82">
        <v>1230</v>
      </c>
      <c r="BD82" t="s">
        <v>74</v>
      </c>
      <c r="BE82" t="s">
        <v>1365</v>
      </c>
      <c r="BF82" t="str">
        <f>HYPERLINK("http://dx.doi.org/10.1111/j.1945-5100.2006.tb00517.x","http://dx.doi.org/10.1111/j.1945-5100.2006.tb00517.x")</f>
        <v>http://dx.doi.org/10.1111/j.1945-5100.2006.tb00517.x</v>
      </c>
      <c r="BG82" t="s">
        <v>74</v>
      </c>
      <c r="BH82" t="s">
        <v>74</v>
      </c>
      <c r="BI82">
        <v>12</v>
      </c>
      <c r="BJ82" t="s">
        <v>608</v>
      </c>
      <c r="BK82" t="s">
        <v>97</v>
      </c>
      <c r="BL82" t="s">
        <v>608</v>
      </c>
      <c r="BM82" t="s">
        <v>1352</v>
      </c>
      <c r="BN82" t="s">
        <v>74</v>
      </c>
      <c r="BO82" t="s">
        <v>147</v>
      </c>
      <c r="BP82" t="s">
        <v>74</v>
      </c>
      <c r="BQ82" t="s">
        <v>74</v>
      </c>
      <c r="BR82" t="s">
        <v>100</v>
      </c>
      <c r="BS82" t="s">
        <v>1366</v>
      </c>
      <c r="BT82" t="str">
        <f>HYPERLINK("https%3A%2F%2Fwww.webofscience.com%2Fwos%2Fwoscc%2Ffull-record%2FWOS:000239910600008","View Full Record in Web of Science")</f>
        <v>View Full Record in Web of Science</v>
      </c>
    </row>
    <row r="83" spans="1:72" x14ac:dyDescent="0.15">
      <c r="A83" t="s">
        <v>72</v>
      </c>
      <c r="B83" t="s">
        <v>1367</v>
      </c>
      <c r="C83" t="s">
        <v>74</v>
      </c>
      <c r="D83" t="s">
        <v>74</v>
      </c>
      <c r="E83" t="s">
        <v>74</v>
      </c>
      <c r="F83" t="s">
        <v>1368</v>
      </c>
      <c r="G83" t="s">
        <v>74</v>
      </c>
      <c r="H83" t="s">
        <v>74</v>
      </c>
      <c r="I83" t="s">
        <v>1369</v>
      </c>
      <c r="J83" t="s">
        <v>1340</v>
      </c>
      <c r="K83" t="s">
        <v>74</v>
      </c>
      <c r="L83" t="s">
        <v>74</v>
      </c>
      <c r="M83" t="s">
        <v>78</v>
      </c>
      <c r="N83" t="s">
        <v>52</v>
      </c>
      <c r="O83" t="s">
        <v>1370</v>
      </c>
      <c r="P83" t="s">
        <v>1371</v>
      </c>
      <c r="Q83" t="s">
        <v>1372</v>
      </c>
      <c r="R83" t="s">
        <v>74</v>
      </c>
      <c r="S83" t="s">
        <v>74</v>
      </c>
      <c r="T83" t="s">
        <v>74</v>
      </c>
      <c r="U83" t="s">
        <v>74</v>
      </c>
      <c r="V83" t="s">
        <v>74</v>
      </c>
      <c r="W83" t="s">
        <v>1373</v>
      </c>
      <c r="X83" t="s">
        <v>1374</v>
      </c>
      <c r="Y83" t="s">
        <v>74</v>
      </c>
      <c r="Z83" t="s">
        <v>1375</v>
      </c>
      <c r="AA83" t="s">
        <v>74</v>
      </c>
      <c r="AB83" t="s">
        <v>74</v>
      </c>
      <c r="AC83" t="s">
        <v>74</v>
      </c>
      <c r="AD83" t="s">
        <v>74</v>
      </c>
      <c r="AE83" t="s">
        <v>74</v>
      </c>
      <c r="AF83" t="s">
        <v>74</v>
      </c>
      <c r="AG83">
        <v>5</v>
      </c>
      <c r="AH83">
        <v>3</v>
      </c>
      <c r="AI83">
        <v>3</v>
      </c>
      <c r="AJ83">
        <v>0</v>
      </c>
      <c r="AK83">
        <v>0</v>
      </c>
      <c r="AL83" t="s">
        <v>1376</v>
      </c>
      <c r="AM83" t="s">
        <v>1377</v>
      </c>
      <c r="AN83" t="s">
        <v>1378</v>
      </c>
      <c r="AO83" t="s">
        <v>1347</v>
      </c>
      <c r="AP83" t="s">
        <v>74</v>
      </c>
      <c r="AQ83" t="s">
        <v>74</v>
      </c>
      <c r="AR83" t="s">
        <v>1349</v>
      </c>
      <c r="AS83" t="s">
        <v>1350</v>
      </c>
      <c r="AT83" t="s">
        <v>94</v>
      </c>
      <c r="AU83">
        <v>2006</v>
      </c>
      <c r="AV83">
        <v>41</v>
      </c>
      <c r="AW83">
        <v>8</v>
      </c>
      <c r="AX83" t="s">
        <v>74</v>
      </c>
      <c r="AY83" t="s">
        <v>652</v>
      </c>
      <c r="AZ83" t="s">
        <v>74</v>
      </c>
      <c r="BA83" t="s">
        <v>74</v>
      </c>
      <c r="BB83" t="s">
        <v>1379</v>
      </c>
      <c r="BC83" t="s">
        <v>1379</v>
      </c>
      <c r="BD83" t="s">
        <v>74</v>
      </c>
      <c r="BE83" t="s">
        <v>74</v>
      </c>
      <c r="BF83" t="s">
        <v>74</v>
      </c>
      <c r="BG83" t="s">
        <v>74</v>
      </c>
      <c r="BH83" t="s">
        <v>74</v>
      </c>
      <c r="BI83">
        <v>1</v>
      </c>
      <c r="BJ83" t="s">
        <v>608</v>
      </c>
      <c r="BK83" t="s">
        <v>655</v>
      </c>
      <c r="BL83" t="s">
        <v>608</v>
      </c>
      <c r="BM83" t="s">
        <v>1380</v>
      </c>
      <c r="BN83" t="s">
        <v>74</v>
      </c>
      <c r="BO83" t="s">
        <v>74</v>
      </c>
      <c r="BP83" t="s">
        <v>74</v>
      </c>
      <c r="BQ83" t="s">
        <v>74</v>
      </c>
      <c r="BR83" t="s">
        <v>100</v>
      </c>
      <c r="BS83" t="s">
        <v>1381</v>
      </c>
      <c r="BT83" t="str">
        <f>HYPERLINK("https%3A%2F%2Fwww.webofscience.com%2Fwos%2Fwoscc%2Ffull-record%2FWOS:000239172300083","View Full Record in Web of Science")</f>
        <v>View Full Record in Web of Science</v>
      </c>
    </row>
    <row r="84" spans="1:72" x14ac:dyDescent="0.15">
      <c r="A84" t="s">
        <v>72</v>
      </c>
      <c r="B84" t="s">
        <v>1382</v>
      </c>
      <c r="C84" t="s">
        <v>74</v>
      </c>
      <c r="D84" t="s">
        <v>74</v>
      </c>
      <c r="E84" t="s">
        <v>74</v>
      </c>
      <c r="F84" t="s">
        <v>1383</v>
      </c>
      <c r="G84" t="s">
        <v>74</v>
      </c>
      <c r="H84" t="s">
        <v>74</v>
      </c>
      <c r="I84" t="s">
        <v>1384</v>
      </c>
      <c r="J84" t="s">
        <v>1340</v>
      </c>
      <c r="K84" t="s">
        <v>74</v>
      </c>
      <c r="L84" t="s">
        <v>74</v>
      </c>
      <c r="M84" t="s">
        <v>78</v>
      </c>
      <c r="N84" t="s">
        <v>52</v>
      </c>
      <c r="O84" t="s">
        <v>1370</v>
      </c>
      <c r="P84" t="s">
        <v>1371</v>
      </c>
      <c r="Q84" t="s">
        <v>1372</v>
      </c>
      <c r="R84" t="s">
        <v>74</v>
      </c>
      <c r="S84" t="s">
        <v>74</v>
      </c>
      <c r="T84" t="s">
        <v>74</v>
      </c>
      <c r="U84" t="s">
        <v>74</v>
      </c>
      <c r="V84" t="s">
        <v>74</v>
      </c>
      <c r="W84" t="s">
        <v>1385</v>
      </c>
      <c r="X84" t="s">
        <v>1386</v>
      </c>
      <c r="Y84" t="s">
        <v>74</v>
      </c>
      <c r="Z84" t="s">
        <v>1387</v>
      </c>
      <c r="AA84" t="s">
        <v>74</v>
      </c>
      <c r="AB84" t="s">
        <v>74</v>
      </c>
      <c r="AC84" t="s">
        <v>74</v>
      </c>
      <c r="AD84" t="s">
        <v>74</v>
      </c>
      <c r="AE84" t="s">
        <v>74</v>
      </c>
      <c r="AF84" t="s">
        <v>74</v>
      </c>
      <c r="AG84">
        <v>10</v>
      </c>
      <c r="AH84">
        <v>0</v>
      </c>
      <c r="AI84">
        <v>0</v>
      </c>
      <c r="AJ84">
        <v>0</v>
      </c>
      <c r="AK84">
        <v>4</v>
      </c>
      <c r="AL84" t="s">
        <v>1376</v>
      </c>
      <c r="AM84" t="s">
        <v>1377</v>
      </c>
      <c r="AN84" t="s">
        <v>1378</v>
      </c>
      <c r="AO84" t="s">
        <v>1347</v>
      </c>
      <c r="AP84" t="s">
        <v>74</v>
      </c>
      <c r="AQ84" t="s">
        <v>74</v>
      </c>
      <c r="AR84" t="s">
        <v>1349</v>
      </c>
      <c r="AS84" t="s">
        <v>1350</v>
      </c>
      <c r="AT84" t="s">
        <v>94</v>
      </c>
      <c r="AU84">
        <v>2006</v>
      </c>
      <c r="AV84">
        <v>41</v>
      </c>
      <c r="AW84">
        <v>8</v>
      </c>
      <c r="AX84" t="s">
        <v>74</v>
      </c>
      <c r="AY84" t="s">
        <v>652</v>
      </c>
      <c r="AZ84" t="s">
        <v>74</v>
      </c>
      <c r="BA84" t="s">
        <v>74</v>
      </c>
      <c r="BB84" t="s">
        <v>1388</v>
      </c>
      <c r="BC84" t="s">
        <v>1388</v>
      </c>
      <c r="BD84" t="s">
        <v>74</v>
      </c>
      <c r="BE84" t="s">
        <v>74</v>
      </c>
      <c r="BF84" t="s">
        <v>74</v>
      </c>
      <c r="BG84" t="s">
        <v>74</v>
      </c>
      <c r="BH84" t="s">
        <v>74</v>
      </c>
      <c r="BI84">
        <v>1</v>
      </c>
      <c r="BJ84" t="s">
        <v>608</v>
      </c>
      <c r="BK84" t="s">
        <v>655</v>
      </c>
      <c r="BL84" t="s">
        <v>608</v>
      </c>
      <c r="BM84" t="s">
        <v>1380</v>
      </c>
      <c r="BN84" t="s">
        <v>74</v>
      </c>
      <c r="BO84" t="s">
        <v>74</v>
      </c>
      <c r="BP84" t="s">
        <v>74</v>
      </c>
      <c r="BQ84" t="s">
        <v>74</v>
      </c>
      <c r="BR84" t="s">
        <v>100</v>
      </c>
      <c r="BS84" t="s">
        <v>1389</v>
      </c>
      <c r="BT84" t="str">
        <f>HYPERLINK("https%3A%2F%2Fwww.webofscience.com%2Fwos%2Fwoscc%2Ffull-record%2FWOS:000239172300114","View Full Record in Web of Science")</f>
        <v>View Full Record in Web of Science</v>
      </c>
    </row>
    <row r="85" spans="1:72" x14ac:dyDescent="0.15">
      <c r="A85" t="s">
        <v>72</v>
      </c>
      <c r="B85" t="s">
        <v>1390</v>
      </c>
      <c r="C85" t="s">
        <v>74</v>
      </c>
      <c r="D85" t="s">
        <v>74</v>
      </c>
      <c r="E85" t="s">
        <v>74</v>
      </c>
      <c r="F85" t="s">
        <v>1391</v>
      </c>
      <c r="G85" t="s">
        <v>74</v>
      </c>
      <c r="H85" t="s">
        <v>74</v>
      </c>
      <c r="I85" t="s">
        <v>1392</v>
      </c>
      <c r="J85" t="s">
        <v>1340</v>
      </c>
      <c r="K85" t="s">
        <v>74</v>
      </c>
      <c r="L85" t="s">
        <v>74</v>
      </c>
      <c r="M85" t="s">
        <v>78</v>
      </c>
      <c r="N85" t="s">
        <v>52</v>
      </c>
      <c r="O85" t="s">
        <v>1393</v>
      </c>
      <c r="P85" t="s">
        <v>1371</v>
      </c>
      <c r="Q85" t="s">
        <v>1372</v>
      </c>
      <c r="R85" t="s">
        <v>74</v>
      </c>
      <c r="S85" t="s">
        <v>74</v>
      </c>
      <c r="T85" t="s">
        <v>74</v>
      </c>
      <c r="U85" t="s">
        <v>74</v>
      </c>
      <c r="V85" t="s">
        <v>74</v>
      </c>
      <c r="W85" t="s">
        <v>1394</v>
      </c>
      <c r="X85" t="s">
        <v>1395</v>
      </c>
      <c r="Y85" t="s">
        <v>74</v>
      </c>
      <c r="Z85" t="s">
        <v>1396</v>
      </c>
      <c r="AA85" t="s">
        <v>74</v>
      </c>
      <c r="AB85" t="s">
        <v>74</v>
      </c>
      <c r="AC85" t="s">
        <v>74</v>
      </c>
      <c r="AD85" t="s">
        <v>74</v>
      </c>
      <c r="AE85" t="s">
        <v>74</v>
      </c>
      <c r="AF85" t="s">
        <v>74</v>
      </c>
      <c r="AG85">
        <v>3</v>
      </c>
      <c r="AH85">
        <v>0</v>
      </c>
      <c r="AI85">
        <v>0</v>
      </c>
      <c r="AJ85">
        <v>0</v>
      </c>
      <c r="AK85">
        <v>0</v>
      </c>
      <c r="AL85" t="s">
        <v>1376</v>
      </c>
      <c r="AM85" t="s">
        <v>1377</v>
      </c>
      <c r="AN85" t="s">
        <v>1378</v>
      </c>
      <c r="AO85" t="s">
        <v>1347</v>
      </c>
      <c r="AP85" t="s">
        <v>74</v>
      </c>
      <c r="AQ85" t="s">
        <v>74</v>
      </c>
      <c r="AR85" t="s">
        <v>1349</v>
      </c>
      <c r="AS85" t="s">
        <v>1350</v>
      </c>
      <c r="AT85" t="s">
        <v>94</v>
      </c>
      <c r="AU85">
        <v>2006</v>
      </c>
      <c r="AV85">
        <v>41</v>
      </c>
      <c r="AW85">
        <v>8</v>
      </c>
      <c r="AX85" t="s">
        <v>74</v>
      </c>
      <c r="AY85" t="s">
        <v>652</v>
      </c>
      <c r="AZ85" t="s">
        <v>74</v>
      </c>
      <c r="BA85" t="s">
        <v>74</v>
      </c>
      <c r="BB85" t="s">
        <v>1397</v>
      </c>
      <c r="BC85" t="s">
        <v>1397</v>
      </c>
      <c r="BD85" t="s">
        <v>74</v>
      </c>
      <c r="BE85" t="s">
        <v>74</v>
      </c>
      <c r="BF85" t="s">
        <v>74</v>
      </c>
      <c r="BG85" t="s">
        <v>74</v>
      </c>
      <c r="BH85" t="s">
        <v>74</v>
      </c>
      <c r="BI85">
        <v>1</v>
      </c>
      <c r="BJ85" t="s">
        <v>608</v>
      </c>
      <c r="BK85" t="s">
        <v>655</v>
      </c>
      <c r="BL85" t="s">
        <v>608</v>
      </c>
      <c r="BM85" t="s">
        <v>1380</v>
      </c>
      <c r="BN85" t="s">
        <v>74</v>
      </c>
      <c r="BO85" t="s">
        <v>74</v>
      </c>
      <c r="BP85" t="s">
        <v>74</v>
      </c>
      <c r="BQ85" t="s">
        <v>74</v>
      </c>
      <c r="BR85" t="s">
        <v>100</v>
      </c>
      <c r="BS85" t="s">
        <v>1398</v>
      </c>
      <c r="BT85" t="str">
        <f>HYPERLINK("https%3A%2F%2Fwww.webofscience.com%2Fwos%2Fwoscc%2Ffull-record%2FWOS:000239172300145","View Full Record in Web of Science")</f>
        <v>View Full Record in Web of Science</v>
      </c>
    </row>
    <row r="86" spans="1:72" x14ac:dyDescent="0.15">
      <c r="A86" t="s">
        <v>72</v>
      </c>
      <c r="B86" t="s">
        <v>1399</v>
      </c>
      <c r="C86" t="s">
        <v>74</v>
      </c>
      <c r="D86" t="s">
        <v>74</v>
      </c>
      <c r="E86" t="s">
        <v>74</v>
      </c>
      <c r="F86" t="s">
        <v>1400</v>
      </c>
      <c r="G86" t="s">
        <v>74</v>
      </c>
      <c r="H86" t="s">
        <v>74</v>
      </c>
      <c r="I86" t="s">
        <v>1401</v>
      </c>
      <c r="J86" t="s">
        <v>1340</v>
      </c>
      <c r="K86" t="s">
        <v>74</v>
      </c>
      <c r="L86" t="s">
        <v>74</v>
      </c>
      <c r="M86" t="s">
        <v>78</v>
      </c>
      <c r="N86" t="s">
        <v>52</v>
      </c>
      <c r="O86" t="s">
        <v>1393</v>
      </c>
      <c r="P86" t="s">
        <v>1371</v>
      </c>
      <c r="Q86" t="s">
        <v>1372</v>
      </c>
      <c r="R86" t="s">
        <v>74</v>
      </c>
      <c r="S86" t="s">
        <v>74</v>
      </c>
      <c r="T86" t="s">
        <v>74</v>
      </c>
      <c r="U86" t="s">
        <v>74</v>
      </c>
      <c r="V86" t="s">
        <v>74</v>
      </c>
      <c r="W86" t="s">
        <v>1402</v>
      </c>
      <c r="X86" t="s">
        <v>1403</v>
      </c>
      <c r="Y86" t="s">
        <v>74</v>
      </c>
      <c r="Z86" t="s">
        <v>1404</v>
      </c>
      <c r="AA86" t="s">
        <v>74</v>
      </c>
      <c r="AB86" t="s">
        <v>74</v>
      </c>
      <c r="AC86" t="s">
        <v>74</v>
      </c>
      <c r="AD86" t="s">
        <v>74</v>
      </c>
      <c r="AE86" t="s">
        <v>74</v>
      </c>
      <c r="AF86" t="s">
        <v>74</v>
      </c>
      <c r="AG86">
        <v>5</v>
      </c>
      <c r="AH86">
        <v>0</v>
      </c>
      <c r="AI86">
        <v>0</v>
      </c>
      <c r="AJ86">
        <v>0</v>
      </c>
      <c r="AK86">
        <v>0</v>
      </c>
      <c r="AL86" t="s">
        <v>1376</v>
      </c>
      <c r="AM86" t="s">
        <v>1377</v>
      </c>
      <c r="AN86" t="s">
        <v>1378</v>
      </c>
      <c r="AO86" t="s">
        <v>1347</v>
      </c>
      <c r="AP86" t="s">
        <v>74</v>
      </c>
      <c r="AQ86" t="s">
        <v>74</v>
      </c>
      <c r="AR86" t="s">
        <v>1349</v>
      </c>
      <c r="AS86" t="s">
        <v>1350</v>
      </c>
      <c r="AT86" t="s">
        <v>94</v>
      </c>
      <c r="AU86">
        <v>2006</v>
      </c>
      <c r="AV86">
        <v>41</v>
      </c>
      <c r="AW86">
        <v>8</v>
      </c>
      <c r="AX86" t="s">
        <v>74</v>
      </c>
      <c r="AY86" t="s">
        <v>652</v>
      </c>
      <c r="AZ86" t="s">
        <v>74</v>
      </c>
      <c r="BA86" t="s">
        <v>74</v>
      </c>
      <c r="BB86" t="s">
        <v>1405</v>
      </c>
      <c r="BC86" t="s">
        <v>1405</v>
      </c>
      <c r="BD86" t="s">
        <v>74</v>
      </c>
      <c r="BE86" t="s">
        <v>74</v>
      </c>
      <c r="BF86" t="s">
        <v>74</v>
      </c>
      <c r="BG86" t="s">
        <v>74</v>
      </c>
      <c r="BH86" t="s">
        <v>74</v>
      </c>
      <c r="BI86">
        <v>1</v>
      </c>
      <c r="BJ86" t="s">
        <v>608</v>
      </c>
      <c r="BK86" t="s">
        <v>655</v>
      </c>
      <c r="BL86" t="s">
        <v>608</v>
      </c>
      <c r="BM86" t="s">
        <v>1380</v>
      </c>
      <c r="BN86" t="s">
        <v>74</v>
      </c>
      <c r="BO86" t="s">
        <v>74</v>
      </c>
      <c r="BP86" t="s">
        <v>74</v>
      </c>
      <c r="BQ86" t="s">
        <v>74</v>
      </c>
      <c r="BR86" t="s">
        <v>100</v>
      </c>
      <c r="BS86" t="s">
        <v>1406</v>
      </c>
      <c r="BT86" t="str">
        <f>HYPERLINK("https%3A%2F%2Fwww.webofscience.com%2Fwos%2Fwoscc%2Ffull-record%2FWOS:000239172300161","View Full Record in Web of Science")</f>
        <v>View Full Record in Web of Science</v>
      </c>
    </row>
    <row r="87" spans="1:72" x14ac:dyDescent="0.15">
      <c r="A87" t="s">
        <v>72</v>
      </c>
      <c r="B87" t="s">
        <v>1407</v>
      </c>
      <c r="C87" t="s">
        <v>74</v>
      </c>
      <c r="D87" t="s">
        <v>74</v>
      </c>
      <c r="E87" t="s">
        <v>74</v>
      </c>
      <c r="F87" t="s">
        <v>1408</v>
      </c>
      <c r="G87" t="s">
        <v>74</v>
      </c>
      <c r="H87" t="s">
        <v>74</v>
      </c>
      <c r="I87" t="s">
        <v>1409</v>
      </c>
      <c r="J87" t="s">
        <v>1340</v>
      </c>
      <c r="K87" t="s">
        <v>74</v>
      </c>
      <c r="L87" t="s">
        <v>74</v>
      </c>
      <c r="M87" t="s">
        <v>78</v>
      </c>
      <c r="N87" t="s">
        <v>52</v>
      </c>
      <c r="O87" t="s">
        <v>1393</v>
      </c>
      <c r="P87" t="s">
        <v>1371</v>
      </c>
      <c r="Q87" t="s">
        <v>1372</v>
      </c>
      <c r="R87" t="s">
        <v>74</v>
      </c>
      <c r="S87" t="s">
        <v>74</v>
      </c>
      <c r="T87" t="s">
        <v>74</v>
      </c>
      <c r="U87" t="s">
        <v>74</v>
      </c>
      <c r="V87" t="s">
        <v>74</v>
      </c>
      <c r="W87" t="s">
        <v>1394</v>
      </c>
      <c r="X87" t="s">
        <v>1395</v>
      </c>
      <c r="Y87" t="s">
        <v>74</v>
      </c>
      <c r="Z87" t="s">
        <v>74</v>
      </c>
      <c r="AA87" t="s">
        <v>1410</v>
      </c>
      <c r="AB87" t="s">
        <v>1411</v>
      </c>
      <c r="AC87" t="s">
        <v>74</v>
      </c>
      <c r="AD87" t="s">
        <v>74</v>
      </c>
      <c r="AE87" t="s">
        <v>74</v>
      </c>
      <c r="AF87" t="s">
        <v>74</v>
      </c>
      <c r="AG87">
        <v>9</v>
      </c>
      <c r="AH87">
        <v>0</v>
      </c>
      <c r="AI87">
        <v>0</v>
      </c>
      <c r="AJ87">
        <v>0</v>
      </c>
      <c r="AK87">
        <v>0</v>
      </c>
      <c r="AL87" t="s">
        <v>1376</v>
      </c>
      <c r="AM87" t="s">
        <v>1377</v>
      </c>
      <c r="AN87" t="s">
        <v>1378</v>
      </c>
      <c r="AO87" t="s">
        <v>1347</v>
      </c>
      <c r="AP87" t="s">
        <v>74</v>
      </c>
      <c r="AQ87" t="s">
        <v>74</v>
      </c>
      <c r="AR87" t="s">
        <v>1349</v>
      </c>
      <c r="AS87" t="s">
        <v>1350</v>
      </c>
      <c r="AT87" t="s">
        <v>94</v>
      </c>
      <c r="AU87">
        <v>2006</v>
      </c>
      <c r="AV87">
        <v>41</v>
      </c>
      <c r="AW87">
        <v>8</v>
      </c>
      <c r="AX87" t="s">
        <v>74</v>
      </c>
      <c r="AY87" t="s">
        <v>652</v>
      </c>
      <c r="AZ87" t="s">
        <v>74</v>
      </c>
      <c r="BA87" t="s">
        <v>74</v>
      </c>
      <c r="BB87" t="s">
        <v>1412</v>
      </c>
      <c r="BC87" t="s">
        <v>1412</v>
      </c>
      <c r="BD87" t="s">
        <v>74</v>
      </c>
      <c r="BE87" t="s">
        <v>74</v>
      </c>
      <c r="BF87" t="s">
        <v>74</v>
      </c>
      <c r="BG87" t="s">
        <v>74</v>
      </c>
      <c r="BH87" t="s">
        <v>74</v>
      </c>
      <c r="BI87">
        <v>1</v>
      </c>
      <c r="BJ87" t="s">
        <v>608</v>
      </c>
      <c r="BK87" t="s">
        <v>655</v>
      </c>
      <c r="BL87" t="s">
        <v>608</v>
      </c>
      <c r="BM87" t="s">
        <v>1380</v>
      </c>
      <c r="BN87" t="s">
        <v>74</v>
      </c>
      <c r="BO87" t="s">
        <v>74</v>
      </c>
      <c r="BP87" t="s">
        <v>74</v>
      </c>
      <c r="BQ87" t="s">
        <v>74</v>
      </c>
      <c r="BR87" t="s">
        <v>100</v>
      </c>
      <c r="BS87" t="s">
        <v>1413</v>
      </c>
      <c r="BT87" t="str">
        <f>HYPERLINK("https%3A%2F%2Fwww.webofscience.com%2Fwos%2Fwoscc%2Ffull-record%2FWOS:000239172300168","View Full Record in Web of Science")</f>
        <v>View Full Record in Web of Science</v>
      </c>
    </row>
    <row r="88" spans="1:72" x14ac:dyDescent="0.15">
      <c r="A88" t="s">
        <v>72</v>
      </c>
      <c r="B88" t="s">
        <v>1414</v>
      </c>
      <c r="C88" t="s">
        <v>74</v>
      </c>
      <c r="D88" t="s">
        <v>74</v>
      </c>
      <c r="E88" t="s">
        <v>74</v>
      </c>
      <c r="F88" t="s">
        <v>1415</v>
      </c>
      <c r="G88" t="s">
        <v>74</v>
      </c>
      <c r="H88" t="s">
        <v>74</v>
      </c>
      <c r="I88" t="s">
        <v>1416</v>
      </c>
      <c r="J88" t="s">
        <v>1340</v>
      </c>
      <c r="K88" t="s">
        <v>74</v>
      </c>
      <c r="L88" t="s">
        <v>74</v>
      </c>
      <c r="M88" t="s">
        <v>78</v>
      </c>
      <c r="N88" t="s">
        <v>52</v>
      </c>
      <c r="O88" t="s">
        <v>1393</v>
      </c>
      <c r="P88" t="s">
        <v>1371</v>
      </c>
      <c r="Q88" t="s">
        <v>1372</v>
      </c>
      <c r="R88" t="s">
        <v>74</v>
      </c>
      <c r="S88" t="s">
        <v>74</v>
      </c>
      <c r="T88" t="s">
        <v>74</v>
      </c>
      <c r="U88" t="s">
        <v>74</v>
      </c>
      <c r="V88" t="s">
        <v>74</v>
      </c>
      <c r="W88" t="s">
        <v>1417</v>
      </c>
      <c r="X88" t="s">
        <v>1418</v>
      </c>
      <c r="Y88" t="s">
        <v>74</v>
      </c>
      <c r="Z88" t="s">
        <v>1419</v>
      </c>
      <c r="AA88" t="s">
        <v>74</v>
      </c>
      <c r="AB88" t="s">
        <v>74</v>
      </c>
      <c r="AC88" t="s">
        <v>74</v>
      </c>
      <c r="AD88" t="s">
        <v>74</v>
      </c>
      <c r="AE88" t="s">
        <v>74</v>
      </c>
      <c r="AF88" t="s">
        <v>74</v>
      </c>
      <c r="AG88">
        <v>3</v>
      </c>
      <c r="AH88">
        <v>0</v>
      </c>
      <c r="AI88">
        <v>0</v>
      </c>
      <c r="AJ88">
        <v>0</v>
      </c>
      <c r="AK88">
        <v>0</v>
      </c>
      <c r="AL88" t="s">
        <v>1376</v>
      </c>
      <c r="AM88" t="s">
        <v>1377</v>
      </c>
      <c r="AN88" t="s">
        <v>1378</v>
      </c>
      <c r="AO88" t="s">
        <v>1347</v>
      </c>
      <c r="AP88" t="s">
        <v>74</v>
      </c>
      <c r="AQ88" t="s">
        <v>74</v>
      </c>
      <c r="AR88" t="s">
        <v>1349</v>
      </c>
      <c r="AS88" t="s">
        <v>1350</v>
      </c>
      <c r="AT88" t="s">
        <v>94</v>
      </c>
      <c r="AU88">
        <v>2006</v>
      </c>
      <c r="AV88">
        <v>41</v>
      </c>
      <c r="AW88">
        <v>8</v>
      </c>
      <c r="AX88" t="s">
        <v>74</v>
      </c>
      <c r="AY88" t="s">
        <v>652</v>
      </c>
      <c r="AZ88" t="s">
        <v>74</v>
      </c>
      <c r="BA88" t="s">
        <v>74</v>
      </c>
      <c r="BB88" t="s">
        <v>1420</v>
      </c>
      <c r="BC88" t="s">
        <v>1420</v>
      </c>
      <c r="BD88" t="s">
        <v>74</v>
      </c>
      <c r="BE88" t="s">
        <v>74</v>
      </c>
      <c r="BF88" t="s">
        <v>74</v>
      </c>
      <c r="BG88" t="s">
        <v>74</v>
      </c>
      <c r="BH88" t="s">
        <v>74</v>
      </c>
      <c r="BI88">
        <v>1</v>
      </c>
      <c r="BJ88" t="s">
        <v>608</v>
      </c>
      <c r="BK88" t="s">
        <v>655</v>
      </c>
      <c r="BL88" t="s">
        <v>608</v>
      </c>
      <c r="BM88" t="s">
        <v>1380</v>
      </c>
      <c r="BN88" t="s">
        <v>74</v>
      </c>
      <c r="BO88" t="s">
        <v>74</v>
      </c>
      <c r="BP88" t="s">
        <v>74</v>
      </c>
      <c r="BQ88" t="s">
        <v>74</v>
      </c>
      <c r="BR88" t="s">
        <v>100</v>
      </c>
      <c r="BS88" t="s">
        <v>1421</v>
      </c>
      <c r="BT88" t="str">
        <f>HYPERLINK("https%3A%2F%2Fwww.webofscience.com%2Fwos%2Fwoscc%2Ffull-record%2FWOS:000239172300186","View Full Record in Web of Science")</f>
        <v>View Full Record in Web of Science</v>
      </c>
    </row>
    <row r="89" spans="1:72" x14ac:dyDescent="0.15">
      <c r="A89" t="s">
        <v>72</v>
      </c>
      <c r="B89" t="s">
        <v>1422</v>
      </c>
      <c r="C89" t="s">
        <v>74</v>
      </c>
      <c r="D89" t="s">
        <v>74</v>
      </c>
      <c r="E89" t="s">
        <v>74</v>
      </c>
      <c r="F89" t="s">
        <v>1423</v>
      </c>
      <c r="G89" t="s">
        <v>74</v>
      </c>
      <c r="H89" t="s">
        <v>74</v>
      </c>
      <c r="I89" t="s">
        <v>1424</v>
      </c>
      <c r="J89" t="s">
        <v>1340</v>
      </c>
      <c r="K89" t="s">
        <v>74</v>
      </c>
      <c r="L89" t="s">
        <v>74</v>
      </c>
      <c r="M89" t="s">
        <v>78</v>
      </c>
      <c r="N89" t="s">
        <v>52</v>
      </c>
      <c r="O89" t="s">
        <v>1393</v>
      </c>
      <c r="P89" t="s">
        <v>1371</v>
      </c>
      <c r="Q89" t="s">
        <v>1372</v>
      </c>
      <c r="R89" t="s">
        <v>74</v>
      </c>
      <c r="S89" t="s">
        <v>74</v>
      </c>
      <c r="T89" t="s">
        <v>74</v>
      </c>
      <c r="U89" t="s">
        <v>74</v>
      </c>
      <c r="V89" t="s">
        <v>74</v>
      </c>
      <c r="W89" t="s">
        <v>1425</v>
      </c>
      <c r="X89" t="s">
        <v>1426</v>
      </c>
      <c r="Y89" t="s">
        <v>74</v>
      </c>
      <c r="Z89" t="s">
        <v>1427</v>
      </c>
      <c r="AA89" t="s">
        <v>1428</v>
      </c>
      <c r="AB89" t="s">
        <v>74</v>
      </c>
      <c r="AC89" t="s">
        <v>74</v>
      </c>
      <c r="AD89" t="s">
        <v>74</v>
      </c>
      <c r="AE89" t="s">
        <v>74</v>
      </c>
      <c r="AF89" t="s">
        <v>74</v>
      </c>
      <c r="AG89">
        <v>3</v>
      </c>
      <c r="AH89">
        <v>6</v>
      </c>
      <c r="AI89">
        <v>10</v>
      </c>
      <c r="AJ89">
        <v>0</v>
      </c>
      <c r="AK89">
        <v>4</v>
      </c>
      <c r="AL89" t="s">
        <v>1376</v>
      </c>
      <c r="AM89" t="s">
        <v>1377</v>
      </c>
      <c r="AN89" t="s">
        <v>1378</v>
      </c>
      <c r="AO89" t="s">
        <v>1347</v>
      </c>
      <c r="AP89" t="s">
        <v>74</v>
      </c>
      <c r="AQ89" t="s">
        <v>74</v>
      </c>
      <c r="AR89" t="s">
        <v>1349</v>
      </c>
      <c r="AS89" t="s">
        <v>1350</v>
      </c>
      <c r="AT89" t="s">
        <v>94</v>
      </c>
      <c r="AU89">
        <v>2006</v>
      </c>
      <c r="AV89">
        <v>41</v>
      </c>
      <c r="AW89">
        <v>8</v>
      </c>
      <c r="AX89" t="s">
        <v>74</v>
      </c>
      <c r="AY89" t="s">
        <v>652</v>
      </c>
      <c r="AZ89" t="s">
        <v>74</v>
      </c>
      <c r="BA89" t="s">
        <v>74</v>
      </c>
      <c r="BB89" t="s">
        <v>1429</v>
      </c>
      <c r="BC89" t="s">
        <v>1429</v>
      </c>
      <c r="BD89" t="s">
        <v>74</v>
      </c>
      <c r="BE89" t="s">
        <v>74</v>
      </c>
      <c r="BF89" t="s">
        <v>74</v>
      </c>
      <c r="BG89" t="s">
        <v>74</v>
      </c>
      <c r="BH89" t="s">
        <v>74</v>
      </c>
      <c r="BI89">
        <v>1</v>
      </c>
      <c r="BJ89" t="s">
        <v>608</v>
      </c>
      <c r="BK89" t="s">
        <v>655</v>
      </c>
      <c r="BL89" t="s">
        <v>608</v>
      </c>
      <c r="BM89" t="s">
        <v>1380</v>
      </c>
      <c r="BN89" t="s">
        <v>74</v>
      </c>
      <c r="BO89" t="s">
        <v>74</v>
      </c>
      <c r="BP89" t="s">
        <v>74</v>
      </c>
      <c r="BQ89" t="s">
        <v>74</v>
      </c>
      <c r="BR89" t="s">
        <v>100</v>
      </c>
      <c r="BS89" t="s">
        <v>1430</v>
      </c>
      <c r="BT89" t="str">
        <f>HYPERLINK("https%3A%2F%2Fwww.webofscience.com%2Fwos%2Fwoscc%2Ffull-record%2FWOS:000239172300194","View Full Record in Web of Science")</f>
        <v>View Full Record in Web of Science</v>
      </c>
    </row>
    <row r="90" spans="1:72" x14ac:dyDescent="0.15">
      <c r="A90" t="s">
        <v>72</v>
      </c>
      <c r="B90" t="s">
        <v>1431</v>
      </c>
      <c r="C90" t="s">
        <v>74</v>
      </c>
      <c r="D90" t="s">
        <v>74</v>
      </c>
      <c r="E90" t="s">
        <v>74</v>
      </c>
      <c r="F90" t="s">
        <v>1432</v>
      </c>
      <c r="G90" t="s">
        <v>74</v>
      </c>
      <c r="H90" t="s">
        <v>74</v>
      </c>
      <c r="I90" t="s">
        <v>1433</v>
      </c>
      <c r="J90" t="s">
        <v>1340</v>
      </c>
      <c r="K90" t="s">
        <v>74</v>
      </c>
      <c r="L90" t="s">
        <v>74</v>
      </c>
      <c r="M90" t="s">
        <v>78</v>
      </c>
      <c r="N90" t="s">
        <v>52</v>
      </c>
      <c r="O90" t="s">
        <v>1370</v>
      </c>
      <c r="P90" t="s">
        <v>1371</v>
      </c>
      <c r="Q90" t="s">
        <v>1372</v>
      </c>
      <c r="R90" t="s">
        <v>74</v>
      </c>
      <c r="S90" t="s">
        <v>74</v>
      </c>
      <c r="T90" t="s">
        <v>74</v>
      </c>
      <c r="U90" t="s">
        <v>74</v>
      </c>
      <c r="V90" t="s">
        <v>74</v>
      </c>
      <c r="W90" t="s">
        <v>1434</v>
      </c>
      <c r="X90" t="s">
        <v>74</v>
      </c>
      <c r="Y90" t="s">
        <v>74</v>
      </c>
      <c r="Z90" t="s">
        <v>1435</v>
      </c>
      <c r="AA90" t="s">
        <v>74</v>
      </c>
      <c r="AB90" t="s">
        <v>74</v>
      </c>
      <c r="AC90" t="s">
        <v>74</v>
      </c>
      <c r="AD90" t="s">
        <v>74</v>
      </c>
      <c r="AE90" t="s">
        <v>74</v>
      </c>
      <c r="AF90" t="s">
        <v>74</v>
      </c>
      <c r="AG90">
        <v>5</v>
      </c>
      <c r="AH90">
        <v>1</v>
      </c>
      <c r="AI90">
        <v>1</v>
      </c>
      <c r="AJ90">
        <v>0</v>
      </c>
      <c r="AK90">
        <v>0</v>
      </c>
      <c r="AL90" t="s">
        <v>115</v>
      </c>
      <c r="AM90" t="s">
        <v>116</v>
      </c>
      <c r="AN90" t="s">
        <v>117</v>
      </c>
      <c r="AO90" t="s">
        <v>1347</v>
      </c>
      <c r="AP90" t="s">
        <v>1348</v>
      </c>
      <c r="AQ90" t="s">
        <v>74</v>
      </c>
      <c r="AR90" t="s">
        <v>1349</v>
      </c>
      <c r="AS90" t="s">
        <v>1350</v>
      </c>
      <c r="AT90" t="s">
        <v>94</v>
      </c>
      <c r="AU90">
        <v>2006</v>
      </c>
      <c r="AV90">
        <v>41</v>
      </c>
      <c r="AW90">
        <v>8</v>
      </c>
      <c r="AX90" t="s">
        <v>74</v>
      </c>
      <c r="AY90" t="s">
        <v>652</v>
      </c>
      <c r="AZ90" t="s">
        <v>74</v>
      </c>
      <c r="BA90" t="s">
        <v>74</v>
      </c>
      <c r="BB90" t="s">
        <v>1436</v>
      </c>
      <c r="BC90" t="s">
        <v>1436</v>
      </c>
      <c r="BD90" t="s">
        <v>74</v>
      </c>
      <c r="BE90" t="s">
        <v>74</v>
      </c>
      <c r="BF90" t="s">
        <v>74</v>
      </c>
      <c r="BG90" t="s">
        <v>74</v>
      </c>
      <c r="BH90" t="s">
        <v>74</v>
      </c>
      <c r="BI90">
        <v>1</v>
      </c>
      <c r="BJ90" t="s">
        <v>608</v>
      </c>
      <c r="BK90" t="s">
        <v>668</v>
      </c>
      <c r="BL90" t="s">
        <v>608</v>
      </c>
      <c r="BM90" t="s">
        <v>1380</v>
      </c>
      <c r="BN90" t="s">
        <v>74</v>
      </c>
      <c r="BO90" t="s">
        <v>74</v>
      </c>
      <c r="BP90" t="s">
        <v>74</v>
      </c>
      <c r="BQ90" t="s">
        <v>74</v>
      </c>
      <c r="BR90" t="s">
        <v>100</v>
      </c>
      <c r="BS90" t="s">
        <v>1437</v>
      </c>
      <c r="BT90" t="str">
        <f>HYPERLINK("https%3A%2F%2Fwww.webofscience.com%2Fwos%2Fwoscc%2Ffull-record%2FWOS:000239172300204","View Full Record in Web of Science")</f>
        <v>View Full Record in Web of Science</v>
      </c>
    </row>
    <row r="91" spans="1:72" x14ac:dyDescent="0.15">
      <c r="A91" t="s">
        <v>72</v>
      </c>
      <c r="B91" t="s">
        <v>1438</v>
      </c>
      <c r="C91" t="s">
        <v>74</v>
      </c>
      <c r="D91" t="s">
        <v>74</v>
      </c>
      <c r="E91" t="s">
        <v>74</v>
      </c>
      <c r="F91" t="s">
        <v>1439</v>
      </c>
      <c r="G91" t="s">
        <v>74</v>
      </c>
      <c r="H91" t="s">
        <v>74</v>
      </c>
      <c r="I91" t="s">
        <v>1440</v>
      </c>
      <c r="J91" t="s">
        <v>1340</v>
      </c>
      <c r="K91" t="s">
        <v>74</v>
      </c>
      <c r="L91" t="s">
        <v>74</v>
      </c>
      <c r="M91" t="s">
        <v>78</v>
      </c>
      <c r="N91" t="s">
        <v>52</v>
      </c>
      <c r="O91" t="s">
        <v>1393</v>
      </c>
      <c r="P91" t="s">
        <v>1371</v>
      </c>
      <c r="Q91" t="s">
        <v>1372</v>
      </c>
      <c r="R91" t="s">
        <v>74</v>
      </c>
      <c r="S91" t="s">
        <v>74</v>
      </c>
      <c r="T91" t="s">
        <v>74</v>
      </c>
      <c r="U91" t="s">
        <v>74</v>
      </c>
      <c r="V91" t="s">
        <v>74</v>
      </c>
      <c r="W91" t="s">
        <v>1441</v>
      </c>
      <c r="X91" t="s">
        <v>74</v>
      </c>
      <c r="Y91" t="s">
        <v>74</v>
      </c>
      <c r="Z91" t="s">
        <v>1442</v>
      </c>
      <c r="AA91" t="s">
        <v>74</v>
      </c>
      <c r="AB91" t="s">
        <v>74</v>
      </c>
      <c r="AC91" t="s">
        <v>74</v>
      </c>
      <c r="AD91" t="s">
        <v>74</v>
      </c>
      <c r="AE91" t="s">
        <v>74</v>
      </c>
      <c r="AF91" t="s">
        <v>74</v>
      </c>
      <c r="AG91">
        <v>0</v>
      </c>
      <c r="AH91">
        <v>0</v>
      </c>
      <c r="AI91">
        <v>0</v>
      </c>
      <c r="AJ91">
        <v>0</v>
      </c>
      <c r="AK91">
        <v>2</v>
      </c>
      <c r="AL91" t="s">
        <v>1376</v>
      </c>
      <c r="AM91" t="s">
        <v>1377</v>
      </c>
      <c r="AN91" t="s">
        <v>1378</v>
      </c>
      <c r="AO91" t="s">
        <v>1347</v>
      </c>
      <c r="AP91" t="s">
        <v>74</v>
      </c>
      <c r="AQ91" t="s">
        <v>74</v>
      </c>
      <c r="AR91" t="s">
        <v>1349</v>
      </c>
      <c r="AS91" t="s">
        <v>1350</v>
      </c>
      <c r="AT91" t="s">
        <v>94</v>
      </c>
      <c r="AU91">
        <v>2006</v>
      </c>
      <c r="AV91">
        <v>41</v>
      </c>
      <c r="AW91">
        <v>8</v>
      </c>
      <c r="AX91" t="s">
        <v>74</v>
      </c>
      <c r="AY91" t="s">
        <v>652</v>
      </c>
      <c r="AZ91" t="s">
        <v>74</v>
      </c>
      <c r="BA91" t="s">
        <v>74</v>
      </c>
      <c r="BB91" t="s">
        <v>1443</v>
      </c>
      <c r="BC91" t="s">
        <v>1443</v>
      </c>
      <c r="BD91" t="s">
        <v>74</v>
      </c>
      <c r="BE91" t="s">
        <v>74</v>
      </c>
      <c r="BF91" t="s">
        <v>74</v>
      </c>
      <c r="BG91" t="s">
        <v>74</v>
      </c>
      <c r="BH91" t="s">
        <v>74</v>
      </c>
      <c r="BI91">
        <v>1</v>
      </c>
      <c r="BJ91" t="s">
        <v>608</v>
      </c>
      <c r="BK91" t="s">
        <v>655</v>
      </c>
      <c r="BL91" t="s">
        <v>608</v>
      </c>
      <c r="BM91" t="s">
        <v>1380</v>
      </c>
      <c r="BN91" t="s">
        <v>74</v>
      </c>
      <c r="BO91" t="s">
        <v>74</v>
      </c>
      <c r="BP91" t="s">
        <v>74</v>
      </c>
      <c r="BQ91" t="s">
        <v>74</v>
      </c>
      <c r="BR91" t="s">
        <v>100</v>
      </c>
      <c r="BS91" t="s">
        <v>1444</v>
      </c>
      <c r="BT91" t="str">
        <f>HYPERLINK("https%3A%2F%2Fwww.webofscience.com%2Fwos%2Fwoscc%2Ffull-record%2FWOS:000239172300203","View Full Record in Web of Science")</f>
        <v>View Full Record in Web of Science</v>
      </c>
    </row>
    <row r="92" spans="1:72" x14ac:dyDescent="0.15">
      <c r="A92" t="s">
        <v>72</v>
      </c>
      <c r="B92" t="s">
        <v>1445</v>
      </c>
      <c r="C92" t="s">
        <v>74</v>
      </c>
      <c r="D92" t="s">
        <v>74</v>
      </c>
      <c r="E92" t="s">
        <v>74</v>
      </c>
      <c r="F92" t="s">
        <v>1446</v>
      </c>
      <c r="G92" t="s">
        <v>74</v>
      </c>
      <c r="H92" t="s">
        <v>74</v>
      </c>
      <c r="I92" t="s">
        <v>1447</v>
      </c>
      <c r="J92" t="s">
        <v>1340</v>
      </c>
      <c r="K92" t="s">
        <v>74</v>
      </c>
      <c r="L92" t="s">
        <v>74</v>
      </c>
      <c r="M92" t="s">
        <v>78</v>
      </c>
      <c r="N92" t="s">
        <v>52</v>
      </c>
      <c r="O92" t="s">
        <v>1393</v>
      </c>
      <c r="P92" t="s">
        <v>1371</v>
      </c>
      <c r="Q92" t="s">
        <v>1372</v>
      </c>
      <c r="R92" t="s">
        <v>74</v>
      </c>
      <c r="S92" t="s">
        <v>74</v>
      </c>
      <c r="T92" t="s">
        <v>74</v>
      </c>
      <c r="U92" t="s">
        <v>1448</v>
      </c>
      <c r="V92" t="s">
        <v>74</v>
      </c>
      <c r="W92" t="s">
        <v>1449</v>
      </c>
      <c r="X92" t="s">
        <v>1450</v>
      </c>
      <c r="Y92" t="s">
        <v>74</v>
      </c>
      <c r="Z92" t="s">
        <v>1451</v>
      </c>
      <c r="AA92" t="s">
        <v>74</v>
      </c>
      <c r="AB92" t="s">
        <v>74</v>
      </c>
      <c r="AC92" t="s">
        <v>74</v>
      </c>
      <c r="AD92" t="s">
        <v>74</v>
      </c>
      <c r="AE92" t="s">
        <v>74</v>
      </c>
      <c r="AF92" t="s">
        <v>74</v>
      </c>
      <c r="AG92">
        <v>11</v>
      </c>
      <c r="AH92">
        <v>0</v>
      </c>
      <c r="AI92">
        <v>0</v>
      </c>
      <c r="AJ92">
        <v>0</v>
      </c>
      <c r="AK92">
        <v>1</v>
      </c>
      <c r="AL92" t="s">
        <v>1376</v>
      </c>
      <c r="AM92" t="s">
        <v>1377</v>
      </c>
      <c r="AN92" t="s">
        <v>1378</v>
      </c>
      <c r="AO92" t="s">
        <v>1347</v>
      </c>
      <c r="AP92" t="s">
        <v>74</v>
      </c>
      <c r="AQ92" t="s">
        <v>74</v>
      </c>
      <c r="AR92" t="s">
        <v>1349</v>
      </c>
      <c r="AS92" t="s">
        <v>1350</v>
      </c>
      <c r="AT92" t="s">
        <v>94</v>
      </c>
      <c r="AU92">
        <v>2006</v>
      </c>
      <c r="AV92">
        <v>41</v>
      </c>
      <c r="AW92">
        <v>8</v>
      </c>
      <c r="AX92" t="s">
        <v>74</v>
      </c>
      <c r="AY92" t="s">
        <v>652</v>
      </c>
      <c r="AZ92" t="s">
        <v>74</v>
      </c>
      <c r="BA92" t="s">
        <v>74</v>
      </c>
      <c r="BB92" t="s">
        <v>1452</v>
      </c>
      <c r="BC92" t="s">
        <v>1452</v>
      </c>
      <c r="BD92" t="s">
        <v>74</v>
      </c>
      <c r="BE92" t="s">
        <v>74</v>
      </c>
      <c r="BF92" t="s">
        <v>74</v>
      </c>
      <c r="BG92" t="s">
        <v>74</v>
      </c>
      <c r="BH92" t="s">
        <v>74</v>
      </c>
      <c r="BI92">
        <v>1</v>
      </c>
      <c r="BJ92" t="s">
        <v>608</v>
      </c>
      <c r="BK92" t="s">
        <v>655</v>
      </c>
      <c r="BL92" t="s">
        <v>608</v>
      </c>
      <c r="BM92" t="s">
        <v>1380</v>
      </c>
      <c r="BN92" t="s">
        <v>74</v>
      </c>
      <c r="BO92" t="s">
        <v>74</v>
      </c>
      <c r="BP92" t="s">
        <v>74</v>
      </c>
      <c r="BQ92" t="s">
        <v>74</v>
      </c>
      <c r="BR92" t="s">
        <v>100</v>
      </c>
      <c r="BS92" t="s">
        <v>1453</v>
      </c>
      <c r="BT92" t="str">
        <f>HYPERLINK("https%3A%2F%2Fwww.webofscience.com%2Fwos%2Fwoscc%2Ffull-record%2FWOS:000239172300225","View Full Record in Web of Science")</f>
        <v>View Full Record in Web of Science</v>
      </c>
    </row>
    <row r="93" spans="1:72" x14ac:dyDescent="0.15">
      <c r="A93" t="s">
        <v>72</v>
      </c>
      <c r="B93" t="s">
        <v>1454</v>
      </c>
      <c r="C93" t="s">
        <v>74</v>
      </c>
      <c r="D93" t="s">
        <v>74</v>
      </c>
      <c r="E93" t="s">
        <v>74</v>
      </c>
      <c r="F93" t="s">
        <v>1455</v>
      </c>
      <c r="G93" t="s">
        <v>74</v>
      </c>
      <c r="H93" t="s">
        <v>74</v>
      </c>
      <c r="I93" t="s">
        <v>1456</v>
      </c>
      <c r="J93" t="s">
        <v>1340</v>
      </c>
      <c r="K93" t="s">
        <v>74</v>
      </c>
      <c r="L93" t="s">
        <v>74</v>
      </c>
      <c r="M93" t="s">
        <v>78</v>
      </c>
      <c r="N93" t="s">
        <v>52</v>
      </c>
      <c r="O93" t="s">
        <v>1393</v>
      </c>
      <c r="P93" t="s">
        <v>1371</v>
      </c>
      <c r="Q93" t="s">
        <v>1372</v>
      </c>
      <c r="R93" t="s">
        <v>74</v>
      </c>
      <c r="S93" t="s">
        <v>74</v>
      </c>
      <c r="T93" t="s">
        <v>74</v>
      </c>
      <c r="U93" t="s">
        <v>74</v>
      </c>
      <c r="V93" t="s">
        <v>74</v>
      </c>
      <c r="W93" t="s">
        <v>1457</v>
      </c>
      <c r="X93" t="s">
        <v>1458</v>
      </c>
      <c r="Y93" t="s">
        <v>74</v>
      </c>
      <c r="Z93" t="s">
        <v>1459</v>
      </c>
      <c r="AA93" t="s">
        <v>74</v>
      </c>
      <c r="AB93" t="s">
        <v>74</v>
      </c>
      <c r="AC93" t="s">
        <v>74</v>
      </c>
      <c r="AD93" t="s">
        <v>74</v>
      </c>
      <c r="AE93" t="s">
        <v>74</v>
      </c>
      <c r="AF93" t="s">
        <v>74</v>
      </c>
      <c r="AG93">
        <v>5</v>
      </c>
      <c r="AH93">
        <v>1</v>
      </c>
      <c r="AI93">
        <v>1</v>
      </c>
      <c r="AJ93">
        <v>0</v>
      </c>
      <c r="AK93">
        <v>0</v>
      </c>
      <c r="AL93" t="s">
        <v>1376</v>
      </c>
      <c r="AM93" t="s">
        <v>1377</v>
      </c>
      <c r="AN93" t="s">
        <v>1378</v>
      </c>
      <c r="AO93" t="s">
        <v>1347</v>
      </c>
      <c r="AP93" t="s">
        <v>74</v>
      </c>
      <c r="AQ93" t="s">
        <v>74</v>
      </c>
      <c r="AR93" t="s">
        <v>1349</v>
      </c>
      <c r="AS93" t="s">
        <v>1350</v>
      </c>
      <c r="AT93" t="s">
        <v>94</v>
      </c>
      <c r="AU93">
        <v>2006</v>
      </c>
      <c r="AV93">
        <v>41</v>
      </c>
      <c r="AW93">
        <v>8</v>
      </c>
      <c r="AX93" t="s">
        <v>74</v>
      </c>
      <c r="AY93" t="s">
        <v>652</v>
      </c>
      <c r="AZ93" t="s">
        <v>74</v>
      </c>
      <c r="BA93" t="s">
        <v>74</v>
      </c>
      <c r="BB93" t="s">
        <v>1460</v>
      </c>
      <c r="BC93" t="s">
        <v>1460</v>
      </c>
      <c r="BD93" t="s">
        <v>74</v>
      </c>
      <c r="BE93" t="s">
        <v>74</v>
      </c>
      <c r="BF93" t="s">
        <v>74</v>
      </c>
      <c r="BG93" t="s">
        <v>74</v>
      </c>
      <c r="BH93" t="s">
        <v>74</v>
      </c>
      <c r="BI93">
        <v>1</v>
      </c>
      <c r="BJ93" t="s">
        <v>608</v>
      </c>
      <c r="BK93" t="s">
        <v>655</v>
      </c>
      <c r="BL93" t="s">
        <v>608</v>
      </c>
      <c r="BM93" t="s">
        <v>1380</v>
      </c>
      <c r="BN93" t="s">
        <v>74</v>
      </c>
      <c r="BO93" t="s">
        <v>74</v>
      </c>
      <c r="BP93" t="s">
        <v>74</v>
      </c>
      <c r="BQ93" t="s">
        <v>74</v>
      </c>
      <c r="BR93" t="s">
        <v>100</v>
      </c>
      <c r="BS93" t="s">
        <v>1461</v>
      </c>
      <c r="BT93" t="str">
        <f>HYPERLINK("https%3A%2F%2Fwww.webofscience.com%2Fwos%2Fwoscc%2Ffull-record%2FWOS:000239172300244","View Full Record in Web of Science")</f>
        <v>View Full Record in Web of Science</v>
      </c>
    </row>
    <row r="94" spans="1:72" x14ac:dyDescent="0.15">
      <c r="A94" t="s">
        <v>72</v>
      </c>
      <c r="B94" t="s">
        <v>1462</v>
      </c>
      <c r="C94" t="s">
        <v>74</v>
      </c>
      <c r="D94" t="s">
        <v>74</v>
      </c>
      <c r="E94" t="s">
        <v>74</v>
      </c>
      <c r="F94" t="s">
        <v>1463</v>
      </c>
      <c r="G94" t="s">
        <v>74</v>
      </c>
      <c r="H94" t="s">
        <v>74</v>
      </c>
      <c r="I94" t="s">
        <v>1464</v>
      </c>
      <c r="J94" t="s">
        <v>1340</v>
      </c>
      <c r="K94" t="s">
        <v>74</v>
      </c>
      <c r="L94" t="s">
        <v>74</v>
      </c>
      <c r="M94" t="s">
        <v>78</v>
      </c>
      <c r="N94" t="s">
        <v>52</v>
      </c>
      <c r="O94" t="s">
        <v>1370</v>
      </c>
      <c r="P94" t="s">
        <v>1371</v>
      </c>
      <c r="Q94" t="s">
        <v>1372</v>
      </c>
      <c r="R94" t="s">
        <v>74</v>
      </c>
      <c r="S94" t="s">
        <v>74</v>
      </c>
      <c r="T94" t="s">
        <v>74</v>
      </c>
      <c r="U94" t="s">
        <v>74</v>
      </c>
      <c r="V94" t="s">
        <v>74</v>
      </c>
      <c r="W94" t="s">
        <v>1465</v>
      </c>
      <c r="X94" t="s">
        <v>1466</v>
      </c>
      <c r="Y94" t="s">
        <v>74</v>
      </c>
      <c r="Z94" t="s">
        <v>74</v>
      </c>
      <c r="AA94" t="s">
        <v>1467</v>
      </c>
      <c r="AB94" t="s">
        <v>1468</v>
      </c>
      <c r="AC94" t="s">
        <v>74</v>
      </c>
      <c r="AD94" t="s">
        <v>74</v>
      </c>
      <c r="AE94" t="s">
        <v>74</v>
      </c>
      <c r="AF94" t="s">
        <v>74</v>
      </c>
      <c r="AG94">
        <v>3</v>
      </c>
      <c r="AH94">
        <v>1</v>
      </c>
      <c r="AI94">
        <v>1</v>
      </c>
      <c r="AJ94">
        <v>0</v>
      </c>
      <c r="AK94">
        <v>0</v>
      </c>
      <c r="AL94" t="s">
        <v>1469</v>
      </c>
      <c r="AM94" t="s">
        <v>116</v>
      </c>
      <c r="AN94" t="s">
        <v>117</v>
      </c>
      <c r="AO94" t="s">
        <v>1347</v>
      </c>
      <c r="AP94" t="s">
        <v>1348</v>
      </c>
      <c r="AQ94" t="s">
        <v>74</v>
      </c>
      <c r="AR94" t="s">
        <v>1349</v>
      </c>
      <c r="AS94" t="s">
        <v>1350</v>
      </c>
      <c r="AT94" t="s">
        <v>94</v>
      </c>
      <c r="AU94">
        <v>2006</v>
      </c>
      <c r="AV94">
        <v>41</v>
      </c>
      <c r="AW94">
        <v>8</v>
      </c>
      <c r="AX94" t="s">
        <v>74</v>
      </c>
      <c r="AY94" t="s">
        <v>652</v>
      </c>
      <c r="AZ94" t="s">
        <v>74</v>
      </c>
      <c r="BA94" t="s">
        <v>74</v>
      </c>
      <c r="BB94" t="s">
        <v>1470</v>
      </c>
      <c r="BC94" t="s">
        <v>1470</v>
      </c>
      <c r="BD94" t="s">
        <v>74</v>
      </c>
      <c r="BE94" t="s">
        <v>74</v>
      </c>
      <c r="BF94" t="s">
        <v>74</v>
      </c>
      <c r="BG94" t="s">
        <v>74</v>
      </c>
      <c r="BH94" t="s">
        <v>74</v>
      </c>
      <c r="BI94">
        <v>1</v>
      </c>
      <c r="BJ94" t="s">
        <v>608</v>
      </c>
      <c r="BK94" t="s">
        <v>668</v>
      </c>
      <c r="BL94" t="s">
        <v>608</v>
      </c>
      <c r="BM94" t="s">
        <v>1380</v>
      </c>
      <c r="BN94" t="s">
        <v>74</v>
      </c>
      <c r="BO94" t="s">
        <v>74</v>
      </c>
      <c r="BP94" t="s">
        <v>74</v>
      </c>
      <c r="BQ94" t="s">
        <v>74</v>
      </c>
      <c r="BR94" t="s">
        <v>100</v>
      </c>
      <c r="BS94" t="s">
        <v>1471</v>
      </c>
      <c r="BT94" t="str">
        <f>HYPERLINK("https%3A%2F%2Fwww.webofscience.com%2Fwos%2Fwoscc%2Ffull-record%2FWOS:000239172300283","View Full Record in Web of Science")</f>
        <v>View Full Record in Web of Science</v>
      </c>
    </row>
    <row r="95" spans="1:72" x14ac:dyDescent="0.15">
      <c r="A95" t="s">
        <v>72</v>
      </c>
      <c r="B95" t="s">
        <v>1472</v>
      </c>
      <c r="C95" t="s">
        <v>74</v>
      </c>
      <c r="D95" t="s">
        <v>74</v>
      </c>
      <c r="E95" t="s">
        <v>74</v>
      </c>
      <c r="F95" t="s">
        <v>1473</v>
      </c>
      <c r="G95" t="s">
        <v>74</v>
      </c>
      <c r="H95" t="s">
        <v>74</v>
      </c>
      <c r="I95" t="s">
        <v>1474</v>
      </c>
      <c r="J95" t="s">
        <v>1340</v>
      </c>
      <c r="K95" t="s">
        <v>74</v>
      </c>
      <c r="L95" t="s">
        <v>74</v>
      </c>
      <c r="M95" t="s">
        <v>78</v>
      </c>
      <c r="N95" t="s">
        <v>52</v>
      </c>
      <c r="O95" t="s">
        <v>1370</v>
      </c>
      <c r="P95" t="s">
        <v>1371</v>
      </c>
      <c r="Q95" t="s">
        <v>1372</v>
      </c>
      <c r="R95" t="s">
        <v>74</v>
      </c>
      <c r="S95" t="s">
        <v>74</v>
      </c>
      <c r="T95" t="s">
        <v>74</v>
      </c>
      <c r="U95" t="s">
        <v>74</v>
      </c>
      <c r="V95" t="s">
        <v>74</v>
      </c>
      <c r="W95" t="s">
        <v>1475</v>
      </c>
      <c r="X95" t="s">
        <v>1476</v>
      </c>
      <c r="Y95" t="s">
        <v>74</v>
      </c>
      <c r="Z95" t="s">
        <v>1477</v>
      </c>
      <c r="AA95" t="s">
        <v>74</v>
      </c>
      <c r="AB95" t="s">
        <v>74</v>
      </c>
      <c r="AC95" t="s">
        <v>74</v>
      </c>
      <c r="AD95" t="s">
        <v>74</v>
      </c>
      <c r="AE95" t="s">
        <v>74</v>
      </c>
      <c r="AF95" t="s">
        <v>74</v>
      </c>
      <c r="AG95">
        <v>11</v>
      </c>
      <c r="AH95">
        <v>0</v>
      </c>
      <c r="AI95">
        <v>0</v>
      </c>
      <c r="AJ95">
        <v>0</v>
      </c>
      <c r="AK95">
        <v>0</v>
      </c>
      <c r="AL95" t="s">
        <v>115</v>
      </c>
      <c r="AM95" t="s">
        <v>116</v>
      </c>
      <c r="AN95" t="s">
        <v>117</v>
      </c>
      <c r="AO95" t="s">
        <v>1347</v>
      </c>
      <c r="AP95" t="s">
        <v>1348</v>
      </c>
      <c r="AQ95" t="s">
        <v>74</v>
      </c>
      <c r="AR95" t="s">
        <v>1349</v>
      </c>
      <c r="AS95" t="s">
        <v>1350</v>
      </c>
      <c r="AT95" t="s">
        <v>94</v>
      </c>
      <c r="AU95">
        <v>2006</v>
      </c>
      <c r="AV95">
        <v>41</v>
      </c>
      <c r="AW95">
        <v>8</v>
      </c>
      <c r="AX95" t="s">
        <v>74</v>
      </c>
      <c r="AY95" t="s">
        <v>652</v>
      </c>
      <c r="AZ95" t="s">
        <v>74</v>
      </c>
      <c r="BA95" t="s">
        <v>74</v>
      </c>
      <c r="BB95" t="s">
        <v>1478</v>
      </c>
      <c r="BC95" t="s">
        <v>1478</v>
      </c>
      <c r="BD95" t="s">
        <v>74</v>
      </c>
      <c r="BE95" t="s">
        <v>74</v>
      </c>
      <c r="BF95" t="s">
        <v>74</v>
      </c>
      <c r="BG95" t="s">
        <v>74</v>
      </c>
      <c r="BH95" t="s">
        <v>74</v>
      </c>
      <c r="BI95">
        <v>1</v>
      </c>
      <c r="BJ95" t="s">
        <v>608</v>
      </c>
      <c r="BK95" t="s">
        <v>668</v>
      </c>
      <c r="BL95" t="s">
        <v>608</v>
      </c>
      <c r="BM95" t="s">
        <v>1380</v>
      </c>
      <c r="BN95" t="s">
        <v>74</v>
      </c>
      <c r="BO95" t="s">
        <v>74</v>
      </c>
      <c r="BP95" t="s">
        <v>74</v>
      </c>
      <c r="BQ95" t="s">
        <v>74</v>
      </c>
      <c r="BR95" t="s">
        <v>100</v>
      </c>
      <c r="BS95" t="s">
        <v>1479</v>
      </c>
      <c r="BT95" t="str">
        <f>HYPERLINK("https%3A%2F%2Fwww.webofscience.com%2Fwos%2Fwoscc%2Ffull-record%2FWOS:000239172300324","View Full Record in Web of Science")</f>
        <v>View Full Record in Web of Science</v>
      </c>
    </row>
    <row r="96" spans="1:72" x14ac:dyDescent="0.15">
      <c r="A96" t="s">
        <v>72</v>
      </c>
      <c r="B96" t="s">
        <v>1480</v>
      </c>
      <c r="C96" t="s">
        <v>74</v>
      </c>
      <c r="D96" t="s">
        <v>74</v>
      </c>
      <c r="E96" t="s">
        <v>74</v>
      </c>
      <c r="F96" t="s">
        <v>1481</v>
      </c>
      <c r="G96" t="s">
        <v>74</v>
      </c>
      <c r="H96" t="s">
        <v>74</v>
      </c>
      <c r="I96" t="s">
        <v>1482</v>
      </c>
      <c r="J96" t="s">
        <v>1340</v>
      </c>
      <c r="K96" t="s">
        <v>74</v>
      </c>
      <c r="L96" t="s">
        <v>74</v>
      </c>
      <c r="M96" t="s">
        <v>78</v>
      </c>
      <c r="N96" t="s">
        <v>52</v>
      </c>
      <c r="O96" t="s">
        <v>1370</v>
      </c>
      <c r="P96" t="s">
        <v>1371</v>
      </c>
      <c r="Q96" t="s">
        <v>1372</v>
      </c>
      <c r="R96" t="s">
        <v>74</v>
      </c>
      <c r="S96" t="s">
        <v>74</v>
      </c>
      <c r="T96" t="s">
        <v>74</v>
      </c>
      <c r="U96" t="s">
        <v>74</v>
      </c>
      <c r="V96" t="s">
        <v>74</v>
      </c>
      <c r="W96" t="s">
        <v>1483</v>
      </c>
      <c r="X96" t="s">
        <v>74</v>
      </c>
      <c r="Y96" t="s">
        <v>74</v>
      </c>
      <c r="Z96" t="s">
        <v>1484</v>
      </c>
      <c r="AA96" t="s">
        <v>74</v>
      </c>
      <c r="AB96" t="s">
        <v>74</v>
      </c>
      <c r="AC96" t="s">
        <v>74</v>
      </c>
      <c r="AD96" t="s">
        <v>74</v>
      </c>
      <c r="AE96" t="s">
        <v>74</v>
      </c>
      <c r="AF96" t="s">
        <v>74</v>
      </c>
      <c r="AG96">
        <v>5</v>
      </c>
      <c r="AH96">
        <v>0</v>
      </c>
      <c r="AI96">
        <v>0</v>
      </c>
      <c r="AJ96">
        <v>0</v>
      </c>
      <c r="AK96">
        <v>0</v>
      </c>
      <c r="AL96" t="s">
        <v>115</v>
      </c>
      <c r="AM96" t="s">
        <v>116</v>
      </c>
      <c r="AN96" t="s">
        <v>117</v>
      </c>
      <c r="AO96" t="s">
        <v>1347</v>
      </c>
      <c r="AP96" t="s">
        <v>1348</v>
      </c>
      <c r="AQ96" t="s">
        <v>74</v>
      </c>
      <c r="AR96" t="s">
        <v>1349</v>
      </c>
      <c r="AS96" t="s">
        <v>1350</v>
      </c>
      <c r="AT96" t="s">
        <v>94</v>
      </c>
      <c r="AU96">
        <v>2006</v>
      </c>
      <c r="AV96">
        <v>41</v>
      </c>
      <c r="AW96">
        <v>8</v>
      </c>
      <c r="AX96" t="s">
        <v>74</v>
      </c>
      <c r="AY96" t="s">
        <v>652</v>
      </c>
      <c r="AZ96" t="s">
        <v>74</v>
      </c>
      <c r="BA96" t="s">
        <v>74</v>
      </c>
      <c r="BB96" t="s">
        <v>1485</v>
      </c>
      <c r="BC96" t="s">
        <v>1485</v>
      </c>
      <c r="BD96" t="s">
        <v>74</v>
      </c>
      <c r="BE96" t="s">
        <v>74</v>
      </c>
      <c r="BF96" t="s">
        <v>74</v>
      </c>
      <c r="BG96" t="s">
        <v>74</v>
      </c>
      <c r="BH96" t="s">
        <v>74</v>
      </c>
      <c r="BI96">
        <v>1</v>
      </c>
      <c r="BJ96" t="s">
        <v>608</v>
      </c>
      <c r="BK96" t="s">
        <v>668</v>
      </c>
      <c r="BL96" t="s">
        <v>608</v>
      </c>
      <c r="BM96" t="s">
        <v>1380</v>
      </c>
      <c r="BN96" t="s">
        <v>74</v>
      </c>
      <c r="BO96" t="s">
        <v>74</v>
      </c>
      <c r="BP96" t="s">
        <v>74</v>
      </c>
      <c r="BQ96" t="s">
        <v>74</v>
      </c>
      <c r="BR96" t="s">
        <v>100</v>
      </c>
      <c r="BS96" t="s">
        <v>1486</v>
      </c>
      <c r="BT96" t="str">
        <f>HYPERLINK("https%3A%2F%2Fwww.webofscience.com%2Fwos%2Fwoscc%2Ffull-record%2FWOS:000239172300371","View Full Record in Web of Science")</f>
        <v>View Full Record in Web of Science</v>
      </c>
    </row>
    <row r="97" spans="1:72" x14ac:dyDescent="0.15">
      <c r="A97" t="s">
        <v>72</v>
      </c>
      <c r="B97" t="s">
        <v>1487</v>
      </c>
      <c r="C97" t="s">
        <v>74</v>
      </c>
      <c r="D97" t="s">
        <v>74</v>
      </c>
      <c r="E97" t="s">
        <v>74</v>
      </c>
      <c r="F97" t="s">
        <v>1488</v>
      </c>
      <c r="G97" t="s">
        <v>74</v>
      </c>
      <c r="H97" t="s">
        <v>74</v>
      </c>
      <c r="I97" t="s">
        <v>1489</v>
      </c>
      <c r="J97" t="s">
        <v>1490</v>
      </c>
      <c r="K97" t="s">
        <v>74</v>
      </c>
      <c r="L97" t="s">
        <v>74</v>
      </c>
      <c r="M97" t="s">
        <v>78</v>
      </c>
      <c r="N97" t="s">
        <v>1226</v>
      </c>
      <c r="O97" t="s">
        <v>1491</v>
      </c>
      <c r="P97" t="s">
        <v>1492</v>
      </c>
      <c r="Q97" t="s">
        <v>1493</v>
      </c>
      <c r="R97" t="s">
        <v>74</v>
      </c>
      <c r="S97" t="s">
        <v>74</v>
      </c>
      <c r="T97" t="s">
        <v>1494</v>
      </c>
      <c r="U97" t="s">
        <v>1495</v>
      </c>
      <c r="V97" t="s">
        <v>1496</v>
      </c>
      <c r="W97" t="s">
        <v>1497</v>
      </c>
      <c r="X97" t="s">
        <v>470</v>
      </c>
      <c r="Y97" t="s">
        <v>1498</v>
      </c>
      <c r="Z97" t="s">
        <v>1499</v>
      </c>
      <c r="AA97" t="s">
        <v>74</v>
      </c>
      <c r="AB97" t="s">
        <v>74</v>
      </c>
      <c r="AC97" t="s">
        <v>74</v>
      </c>
      <c r="AD97" t="s">
        <v>74</v>
      </c>
      <c r="AE97" t="s">
        <v>74</v>
      </c>
      <c r="AF97" t="s">
        <v>74</v>
      </c>
      <c r="AG97">
        <v>8</v>
      </c>
      <c r="AH97">
        <v>6</v>
      </c>
      <c r="AI97">
        <v>6</v>
      </c>
      <c r="AJ97">
        <v>0</v>
      </c>
      <c r="AK97">
        <v>5</v>
      </c>
      <c r="AL97" t="s">
        <v>1261</v>
      </c>
      <c r="AM97" t="s">
        <v>520</v>
      </c>
      <c r="AN97" t="s">
        <v>1262</v>
      </c>
      <c r="AO97" t="s">
        <v>1500</v>
      </c>
      <c r="AP97" t="s">
        <v>74</v>
      </c>
      <c r="AQ97" t="s">
        <v>74</v>
      </c>
      <c r="AR97" t="s">
        <v>1501</v>
      </c>
      <c r="AS97" t="s">
        <v>1502</v>
      </c>
      <c r="AT97" t="s">
        <v>94</v>
      </c>
      <c r="AU97">
        <v>2006</v>
      </c>
      <c r="AV97">
        <v>249</v>
      </c>
      <c r="AW97" t="s">
        <v>74</v>
      </c>
      <c r="AX97" t="s">
        <v>74</v>
      </c>
      <c r="AY97" t="s">
        <v>74</v>
      </c>
      <c r="AZ97" t="s">
        <v>74</v>
      </c>
      <c r="BA97" t="s">
        <v>74</v>
      </c>
      <c r="BB97">
        <v>561</v>
      </c>
      <c r="BC97">
        <v>565</v>
      </c>
      <c r="BD97" t="s">
        <v>74</v>
      </c>
      <c r="BE97" t="s">
        <v>1503</v>
      </c>
      <c r="BF97" t="str">
        <f>HYPERLINK("http://dx.doi.org/10.1016/j.nimb.2006.03.053","http://dx.doi.org/10.1016/j.nimb.2006.03.053")</f>
        <v>http://dx.doi.org/10.1016/j.nimb.2006.03.053</v>
      </c>
      <c r="BG97" t="s">
        <v>74</v>
      </c>
      <c r="BH97" t="s">
        <v>74</v>
      </c>
      <c r="BI97">
        <v>5</v>
      </c>
      <c r="BJ97" t="s">
        <v>1504</v>
      </c>
      <c r="BK97" t="s">
        <v>655</v>
      </c>
      <c r="BL97" t="s">
        <v>1505</v>
      </c>
      <c r="BM97" t="s">
        <v>1506</v>
      </c>
      <c r="BN97" t="s">
        <v>74</v>
      </c>
      <c r="BO97" t="s">
        <v>74</v>
      </c>
      <c r="BP97" t="s">
        <v>74</v>
      </c>
      <c r="BQ97" t="s">
        <v>74</v>
      </c>
      <c r="BR97" t="s">
        <v>100</v>
      </c>
      <c r="BS97" t="s">
        <v>1507</v>
      </c>
      <c r="BT97" t="str">
        <f>HYPERLINK("https%3A%2F%2Fwww.webofscience.com%2Fwos%2Fwoscc%2Ffull-record%2FWOS:000239545000139","View Full Record in Web of Science")</f>
        <v>View Full Record in Web of Science</v>
      </c>
    </row>
    <row r="98" spans="1:72" x14ac:dyDescent="0.15">
      <c r="A98" t="s">
        <v>72</v>
      </c>
      <c r="B98" t="s">
        <v>1508</v>
      </c>
      <c r="C98" t="s">
        <v>74</v>
      </c>
      <c r="D98" t="s">
        <v>74</v>
      </c>
      <c r="E98" t="s">
        <v>74</v>
      </c>
      <c r="F98" t="s">
        <v>1509</v>
      </c>
      <c r="G98" t="s">
        <v>74</v>
      </c>
      <c r="H98" t="s">
        <v>74</v>
      </c>
      <c r="I98" t="s">
        <v>1510</v>
      </c>
      <c r="J98" t="s">
        <v>1511</v>
      </c>
      <c r="K98" t="s">
        <v>74</v>
      </c>
      <c r="L98" t="s">
        <v>74</v>
      </c>
      <c r="M98" t="s">
        <v>78</v>
      </c>
      <c r="N98" t="s">
        <v>511</v>
      </c>
      <c r="O98" t="s">
        <v>74</v>
      </c>
      <c r="P98" t="s">
        <v>74</v>
      </c>
      <c r="Q98" t="s">
        <v>74</v>
      </c>
      <c r="R98" t="s">
        <v>74</v>
      </c>
      <c r="S98" t="s">
        <v>74</v>
      </c>
      <c r="T98" t="s">
        <v>74</v>
      </c>
      <c r="U98" t="s">
        <v>1512</v>
      </c>
      <c r="V98" t="s">
        <v>1513</v>
      </c>
      <c r="W98" t="s">
        <v>1514</v>
      </c>
      <c r="X98" t="s">
        <v>407</v>
      </c>
      <c r="Y98" t="s">
        <v>1515</v>
      </c>
      <c r="Z98" t="s">
        <v>1516</v>
      </c>
      <c r="AA98" t="s">
        <v>74</v>
      </c>
      <c r="AB98" t="s">
        <v>1517</v>
      </c>
      <c r="AC98" t="s">
        <v>1518</v>
      </c>
      <c r="AD98" t="s">
        <v>413</v>
      </c>
      <c r="AE98" t="s">
        <v>74</v>
      </c>
      <c r="AF98" t="s">
        <v>74</v>
      </c>
      <c r="AG98">
        <v>20</v>
      </c>
      <c r="AH98">
        <v>10</v>
      </c>
      <c r="AI98">
        <v>14</v>
      </c>
      <c r="AJ98">
        <v>0</v>
      </c>
      <c r="AK98">
        <v>9</v>
      </c>
      <c r="AL98" t="s">
        <v>994</v>
      </c>
      <c r="AM98" t="s">
        <v>476</v>
      </c>
      <c r="AN98" t="s">
        <v>1519</v>
      </c>
      <c r="AO98" t="s">
        <v>1520</v>
      </c>
      <c r="AP98" t="s">
        <v>1521</v>
      </c>
      <c r="AQ98" t="s">
        <v>74</v>
      </c>
      <c r="AR98" t="s">
        <v>1522</v>
      </c>
      <c r="AS98" t="s">
        <v>1523</v>
      </c>
      <c r="AT98" t="s">
        <v>94</v>
      </c>
      <c r="AU98">
        <v>2006</v>
      </c>
      <c r="AV98">
        <v>29</v>
      </c>
      <c r="AW98">
        <v>9</v>
      </c>
      <c r="AX98" t="s">
        <v>74</v>
      </c>
      <c r="AY98" t="s">
        <v>74</v>
      </c>
      <c r="AZ98" t="s">
        <v>74</v>
      </c>
      <c r="BA98" t="s">
        <v>74</v>
      </c>
      <c r="BB98">
        <v>721</v>
      </c>
      <c r="BC98">
        <v>727</v>
      </c>
      <c r="BD98" t="s">
        <v>74</v>
      </c>
      <c r="BE98" t="s">
        <v>1524</v>
      </c>
      <c r="BF98" t="str">
        <f>HYPERLINK("http://dx.doi.org/10.1007/s00300-006-0132-7","http://dx.doi.org/10.1007/s00300-006-0132-7")</f>
        <v>http://dx.doi.org/10.1007/s00300-006-0132-7</v>
      </c>
      <c r="BG98" t="s">
        <v>74</v>
      </c>
      <c r="BH98" t="s">
        <v>74</v>
      </c>
      <c r="BI98">
        <v>7</v>
      </c>
      <c r="BJ98" t="s">
        <v>1525</v>
      </c>
      <c r="BK98" t="s">
        <v>97</v>
      </c>
      <c r="BL98" t="s">
        <v>1526</v>
      </c>
      <c r="BM98" t="s">
        <v>1527</v>
      </c>
      <c r="BN98" t="s">
        <v>74</v>
      </c>
      <c r="BO98" t="s">
        <v>74</v>
      </c>
      <c r="BP98" t="s">
        <v>74</v>
      </c>
      <c r="BQ98" t="s">
        <v>74</v>
      </c>
      <c r="BR98" t="s">
        <v>100</v>
      </c>
      <c r="BS98" t="s">
        <v>1528</v>
      </c>
      <c r="BT98" t="str">
        <f>HYPERLINK("https%3A%2F%2Fwww.webofscience.com%2Fwos%2Fwoscc%2Ffull-record%2FWOS:000239172200001","View Full Record in Web of Science")</f>
        <v>View Full Record in Web of Science</v>
      </c>
    </row>
    <row r="99" spans="1:72" x14ac:dyDescent="0.15">
      <c r="A99" t="s">
        <v>72</v>
      </c>
      <c r="B99" t="s">
        <v>1529</v>
      </c>
      <c r="C99" t="s">
        <v>74</v>
      </c>
      <c r="D99" t="s">
        <v>74</v>
      </c>
      <c r="E99" t="s">
        <v>74</v>
      </c>
      <c r="F99" t="s">
        <v>1530</v>
      </c>
      <c r="G99" t="s">
        <v>74</v>
      </c>
      <c r="H99" t="s">
        <v>74</v>
      </c>
      <c r="I99" t="s">
        <v>1531</v>
      </c>
      <c r="J99" t="s">
        <v>1511</v>
      </c>
      <c r="K99" t="s">
        <v>74</v>
      </c>
      <c r="L99" t="s">
        <v>74</v>
      </c>
      <c r="M99" t="s">
        <v>78</v>
      </c>
      <c r="N99" t="s">
        <v>79</v>
      </c>
      <c r="O99" t="s">
        <v>74</v>
      </c>
      <c r="P99" t="s">
        <v>74</v>
      </c>
      <c r="Q99" t="s">
        <v>74</v>
      </c>
      <c r="R99" t="s">
        <v>74</v>
      </c>
      <c r="S99" t="s">
        <v>74</v>
      </c>
      <c r="T99" t="s">
        <v>74</v>
      </c>
      <c r="U99" t="s">
        <v>1532</v>
      </c>
      <c r="V99" t="s">
        <v>1533</v>
      </c>
      <c r="W99" t="s">
        <v>1534</v>
      </c>
      <c r="X99" t="s">
        <v>1535</v>
      </c>
      <c r="Y99" t="s">
        <v>1536</v>
      </c>
      <c r="Z99" t="s">
        <v>1537</v>
      </c>
      <c r="AA99" t="s">
        <v>74</v>
      </c>
      <c r="AB99" t="s">
        <v>1538</v>
      </c>
      <c r="AC99" t="s">
        <v>74</v>
      </c>
      <c r="AD99" t="s">
        <v>74</v>
      </c>
      <c r="AE99" t="s">
        <v>74</v>
      </c>
      <c r="AF99" t="s">
        <v>74</v>
      </c>
      <c r="AG99">
        <v>44</v>
      </c>
      <c r="AH99">
        <v>38</v>
      </c>
      <c r="AI99">
        <v>38</v>
      </c>
      <c r="AJ99">
        <v>0</v>
      </c>
      <c r="AK99">
        <v>16</v>
      </c>
      <c r="AL99" t="s">
        <v>994</v>
      </c>
      <c r="AM99" t="s">
        <v>476</v>
      </c>
      <c r="AN99" t="s">
        <v>995</v>
      </c>
      <c r="AO99" t="s">
        <v>1520</v>
      </c>
      <c r="AP99" t="s">
        <v>74</v>
      </c>
      <c r="AQ99" t="s">
        <v>74</v>
      </c>
      <c r="AR99" t="s">
        <v>1522</v>
      </c>
      <c r="AS99" t="s">
        <v>1523</v>
      </c>
      <c r="AT99" t="s">
        <v>94</v>
      </c>
      <c r="AU99">
        <v>2006</v>
      </c>
      <c r="AV99">
        <v>29</v>
      </c>
      <c r="AW99">
        <v>9</v>
      </c>
      <c r="AX99" t="s">
        <v>74</v>
      </c>
      <c r="AY99" t="s">
        <v>74</v>
      </c>
      <c r="AZ99" t="s">
        <v>74</v>
      </c>
      <c r="BA99" t="s">
        <v>74</v>
      </c>
      <c r="BB99">
        <v>735</v>
      </c>
      <c r="BC99">
        <v>744</v>
      </c>
      <c r="BD99" t="s">
        <v>74</v>
      </c>
      <c r="BE99" t="s">
        <v>1539</v>
      </c>
      <c r="BF99" t="str">
        <f>HYPERLINK("http://dx.doi.org/10.1007/s00300-006-0110-0","http://dx.doi.org/10.1007/s00300-006-0110-0")</f>
        <v>http://dx.doi.org/10.1007/s00300-006-0110-0</v>
      </c>
      <c r="BG99" t="s">
        <v>74</v>
      </c>
      <c r="BH99" t="s">
        <v>74</v>
      </c>
      <c r="BI99">
        <v>10</v>
      </c>
      <c r="BJ99" t="s">
        <v>1525</v>
      </c>
      <c r="BK99" t="s">
        <v>97</v>
      </c>
      <c r="BL99" t="s">
        <v>1526</v>
      </c>
      <c r="BM99" t="s">
        <v>1527</v>
      </c>
      <c r="BN99" t="s">
        <v>74</v>
      </c>
      <c r="BO99" t="s">
        <v>147</v>
      </c>
      <c r="BP99" t="s">
        <v>74</v>
      </c>
      <c r="BQ99" t="s">
        <v>74</v>
      </c>
      <c r="BR99" t="s">
        <v>100</v>
      </c>
      <c r="BS99" t="s">
        <v>1540</v>
      </c>
      <c r="BT99" t="str">
        <f>HYPERLINK("https%3A%2F%2Fwww.webofscience.com%2Fwos%2Fwoscc%2Ffull-record%2FWOS:000239172200003","View Full Record in Web of Science")</f>
        <v>View Full Record in Web of Science</v>
      </c>
    </row>
    <row r="100" spans="1:72" x14ac:dyDescent="0.15">
      <c r="A100" t="s">
        <v>72</v>
      </c>
      <c r="B100" t="s">
        <v>1541</v>
      </c>
      <c r="C100" t="s">
        <v>74</v>
      </c>
      <c r="D100" t="s">
        <v>74</v>
      </c>
      <c r="E100" t="s">
        <v>74</v>
      </c>
      <c r="F100" t="s">
        <v>1542</v>
      </c>
      <c r="G100" t="s">
        <v>74</v>
      </c>
      <c r="H100" t="s">
        <v>74</v>
      </c>
      <c r="I100" t="s">
        <v>1543</v>
      </c>
      <c r="J100" t="s">
        <v>1511</v>
      </c>
      <c r="K100" t="s">
        <v>74</v>
      </c>
      <c r="L100" t="s">
        <v>74</v>
      </c>
      <c r="M100" t="s">
        <v>78</v>
      </c>
      <c r="N100" t="s">
        <v>79</v>
      </c>
      <c r="O100" t="s">
        <v>74</v>
      </c>
      <c r="P100" t="s">
        <v>74</v>
      </c>
      <c r="Q100" t="s">
        <v>74</v>
      </c>
      <c r="R100" t="s">
        <v>74</v>
      </c>
      <c r="S100" t="s">
        <v>74</v>
      </c>
      <c r="T100" t="s">
        <v>74</v>
      </c>
      <c r="U100" t="s">
        <v>1544</v>
      </c>
      <c r="V100" t="s">
        <v>1545</v>
      </c>
      <c r="W100" t="s">
        <v>1546</v>
      </c>
      <c r="X100" t="s">
        <v>407</v>
      </c>
      <c r="Y100" t="s">
        <v>1547</v>
      </c>
      <c r="Z100" t="s">
        <v>1548</v>
      </c>
      <c r="AA100" t="s">
        <v>74</v>
      </c>
      <c r="AB100" t="s">
        <v>1549</v>
      </c>
      <c r="AC100" t="s">
        <v>1550</v>
      </c>
      <c r="AD100" t="s">
        <v>1328</v>
      </c>
      <c r="AE100" t="s">
        <v>74</v>
      </c>
      <c r="AF100" t="s">
        <v>74</v>
      </c>
      <c r="AG100">
        <v>23</v>
      </c>
      <c r="AH100">
        <v>36</v>
      </c>
      <c r="AI100">
        <v>44</v>
      </c>
      <c r="AJ100">
        <v>0</v>
      </c>
      <c r="AK100">
        <v>9</v>
      </c>
      <c r="AL100" t="s">
        <v>994</v>
      </c>
      <c r="AM100" t="s">
        <v>476</v>
      </c>
      <c r="AN100" t="s">
        <v>1551</v>
      </c>
      <c r="AO100" t="s">
        <v>1520</v>
      </c>
      <c r="AP100" t="s">
        <v>1521</v>
      </c>
      <c r="AQ100" t="s">
        <v>74</v>
      </c>
      <c r="AR100" t="s">
        <v>1522</v>
      </c>
      <c r="AS100" t="s">
        <v>1523</v>
      </c>
      <c r="AT100" t="s">
        <v>94</v>
      </c>
      <c r="AU100">
        <v>2006</v>
      </c>
      <c r="AV100">
        <v>29</v>
      </c>
      <c r="AW100">
        <v>9</v>
      </c>
      <c r="AX100" t="s">
        <v>74</v>
      </c>
      <c r="AY100" t="s">
        <v>74</v>
      </c>
      <c r="AZ100" t="s">
        <v>74</v>
      </c>
      <c r="BA100" t="s">
        <v>74</v>
      </c>
      <c r="BB100">
        <v>745</v>
      </c>
      <c r="BC100">
        <v>753</v>
      </c>
      <c r="BD100" t="s">
        <v>74</v>
      </c>
      <c r="BE100" t="s">
        <v>1552</v>
      </c>
      <c r="BF100" t="str">
        <f>HYPERLINK("http://dx.doi.org/10.1007/s00300-006-0111-z","http://dx.doi.org/10.1007/s00300-006-0111-z")</f>
        <v>http://dx.doi.org/10.1007/s00300-006-0111-z</v>
      </c>
      <c r="BG100" t="s">
        <v>74</v>
      </c>
      <c r="BH100" t="s">
        <v>74</v>
      </c>
      <c r="BI100">
        <v>9</v>
      </c>
      <c r="BJ100" t="s">
        <v>1525</v>
      </c>
      <c r="BK100" t="s">
        <v>97</v>
      </c>
      <c r="BL100" t="s">
        <v>1526</v>
      </c>
      <c r="BM100" t="s">
        <v>1527</v>
      </c>
      <c r="BN100" t="s">
        <v>74</v>
      </c>
      <c r="BO100" t="s">
        <v>74</v>
      </c>
      <c r="BP100" t="s">
        <v>74</v>
      </c>
      <c r="BQ100" t="s">
        <v>74</v>
      </c>
      <c r="BR100" t="s">
        <v>100</v>
      </c>
      <c r="BS100" t="s">
        <v>1553</v>
      </c>
      <c r="BT100" t="str">
        <f>HYPERLINK("https%3A%2F%2Fwww.webofscience.com%2Fwos%2Fwoscc%2Ffull-record%2FWOS:000239172200004","View Full Record in Web of Science")</f>
        <v>View Full Record in Web of Science</v>
      </c>
    </row>
    <row r="101" spans="1:72" x14ac:dyDescent="0.15">
      <c r="A101" t="s">
        <v>72</v>
      </c>
      <c r="B101" t="s">
        <v>1554</v>
      </c>
      <c r="C101" t="s">
        <v>74</v>
      </c>
      <c r="D101" t="s">
        <v>74</v>
      </c>
      <c r="E101" t="s">
        <v>74</v>
      </c>
      <c r="F101" t="s">
        <v>1555</v>
      </c>
      <c r="G101" t="s">
        <v>74</v>
      </c>
      <c r="H101" t="s">
        <v>74</v>
      </c>
      <c r="I101" t="s">
        <v>1556</v>
      </c>
      <c r="J101" t="s">
        <v>1511</v>
      </c>
      <c r="K101" t="s">
        <v>74</v>
      </c>
      <c r="L101" t="s">
        <v>74</v>
      </c>
      <c r="M101" t="s">
        <v>78</v>
      </c>
      <c r="N101" t="s">
        <v>79</v>
      </c>
      <c r="O101" t="s">
        <v>74</v>
      </c>
      <c r="P101" t="s">
        <v>74</v>
      </c>
      <c r="Q101" t="s">
        <v>74</v>
      </c>
      <c r="R101" t="s">
        <v>74</v>
      </c>
      <c r="S101" t="s">
        <v>74</v>
      </c>
      <c r="T101" t="s">
        <v>74</v>
      </c>
      <c r="U101" t="s">
        <v>1557</v>
      </c>
      <c r="V101" t="s">
        <v>1558</v>
      </c>
      <c r="W101" t="s">
        <v>1559</v>
      </c>
      <c r="X101" t="s">
        <v>1560</v>
      </c>
      <c r="Y101" t="s">
        <v>1561</v>
      </c>
      <c r="Z101" t="s">
        <v>1562</v>
      </c>
      <c r="AA101" t="s">
        <v>1563</v>
      </c>
      <c r="AB101" t="s">
        <v>1564</v>
      </c>
      <c r="AC101" t="s">
        <v>74</v>
      </c>
      <c r="AD101" t="s">
        <v>74</v>
      </c>
      <c r="AE101" t="s">
        <v>74</v>
      </c>
      <c r="AF101" t="s">
        <v>74</v>
      </c>
      <c r="AG101">
        <v>40</v>
      </c>
      <c r="AH101">
        <v>10</v>
      </c>
      <c r="AI101">
        <v>12</v>
      </c>
      <c r="AJ101">
        <v>0</v>
      </c>
      <c r="AK101">
        <v>6</v>
      </c>
      <c r="AL101" t="s">
        <v>994</v>
      </c>
      <c r="AM101" t="s">
        <v>476</v>
      </c>
      <c r="AN101" t="s">
        <v>1551</v>
      </c>
      <c r="AO101" t="s">
        <v>1520</v>
      </c>
      <c r="AP101" t="s">
        <v>1521</v>
      </c>
      <c r="AQ101" t="s">
        <v>74</v>
      </c>
      <c r="AR101" t="s">
        <v>1522</v>
      </c>
      <c r="AS101" t="s">
        <v>1523</v>
      </c>
      <c r="AT101" t="s">
        <v>94</v>
      </c>
      <c r="AU101">
        <v>2006</v>
      </c>
      <c r="AV101">
        <v>29</v>
      </c>
      <c r="AW101">
        <v>9</v>
      </c>
      <c r="AX101" t="s">
        <v>74</v>
      </c>
      <c r="AY101" t="s">
        <v>74</v>
      </c>
      <c r="AZ101" t="s">
        <v>74</v>
      </c>
      <c r="BA101" t="s">
        <v>74</v>
      </c>
      <c r="BB101">
        <v>754</v>
      </c>
      <c r="BC101">
        <v>763</v>
      </c>
      <c r="BD101" t="s">
        <v>74</v>
      </c>
      <c r="BE101" t="s">
        <v>1565</v>
      </c>
      <c r="BF101" t="str">
        <f>HYPERLINK("http://dx.doi.org/10.1007/s00300-006-0112-y","http://dx.doi.org/10.1007/s00300-006-0112-y")</f>
        <v>http://dx.doi.org/10.1007/s00300-006-0112-y</v>
      </c>
      <c r="BG101" t="s">
        <v>74</v>
      </c>
      <c r="BH101" t="s">
        <v>74</v>
      </c>
      <c r="BI101">
        <v>10</v>
      </c>
      <c r="BJ101" t="s">
        <v>1525</v>
      </c>
      <c r="BK101" t="s">
        <v>97</v>
      </c>
      <c r="BL101" t="s">
        <v>1526</v>
      </c>
      <c r="BM101" t="s">
        <v>1527</v>
      </c>
      <c r="BN101" t="s">
        <v>74</v>
      </c>
      <c r="BO101" t="s">
        <v>147</v>
      </c>
      <c r="BP101" t="s">
        <v>74</v>
      </c>
      <c r="BQ101" t="s">
        <v>74</v>
      </c>
      <c r="BR101" t="s">
        <v>100</v>
      </c>
      <c r="BS101" t="s">
        <v>1566</v>
      </c>
      <c r="BT101" t="str">
        <f>HYPERLINK("https%3A%2F%2Fwww.webofscience.com%2Fwos%2Fwoscc%2Ffull-record%2FWOS:000239172200005","View Full Record in Web of Science")</f>
        <v>View Full Record in Web of Science</v>
      </c>
    </row>
    <row r="102" spans="1:72" x14ac:dyDescent="0.15">
      <c r="A102" t="s">
        <v>72</v>
      </c>
      <c r="B102" t="s">
        <v>1567</v>
      </c>
      <c r="C102" t="s">
        <v>74</v>
      </c>
      <c r="D102" t="s">
        <v>74</v>
      </c>
      <c r="E102" t="s">
        <v>74</v>
      </c>
      <c r="F102" t="s">
        <v>1568</v>
      </c>
      <c r="G102" t="s">
        <v>74</v>
      </c>
      <c r="H102" t="s">
        <v>74</v>
      </c>
      <c r="I102" t="s">
        <v>1569</v>
      </c>
      <c r="J102" t="s">
        <v>1511</v>
      </c>
      <c r="K102" t="s">
        <v>74</v>
      </c>
      <c r="L102" t="s">
        <v>74</v>
      </c>
      <c r="M102" t="s">
        <v>78</v>
      </c>
      <c r="N102" t="s">
        <v>79</v>
      </c>
      <c r="O102" t="s">
        <v>74</v>
      </c>
      <c r="P102" t="s">
        <v>74</v>
      </c>
      <c r="Q102" t="s">
        <v>74</v>
      </c>
      <c r="R102" t="s">
        <v>74</v>
      </c>
      <c r="S102" t="s">
        <v>74</v>
      </c>
      <c r="T102" t="s">
        <v>74</v>
      </c>
      <c r="U102" t="s">
        <v>1570</v>
      </c>
      <c r="V102" t="s">
        <v>1571</v>
      </c>
      <c r="W102" t="s">
        <v>1572</v>
      </c>
      <c r="X102" t="s">
        <v>1573</v>
      </c>
      <c r="Y102" t="s">
        <v>1574</v>
      </c>
      <c r="Z102" t="s">
        <v>1575</v>
      </c>
      <c r="AA102" t="s">
        <v>1576</v>
      </c>
      <c r="AB102" t="s">
        <v>1577</v>
      </c>
      <c r="AC102" t="s">
        <v>74</v>
      </c>
      <c r="AD102" t="s">
        <v>74</v>
      </c>
      <c r="AE102" t="s">
        <v>74</v>
      </c>
      <c r="AF102" t="s">
        <v>74</v>
      </c>
      <c r="AG102">
        <v>66</v>
      </c>
      <c r="AH102">
        <v>22</v>
      </c>
      <c r="AI102">
        <v>23</v>
      </c>
      <c r="AJ102">
        <v>0</v>
      </c>
      <c r="AK102">
        <v>2</v>
      </c>
      <c r="AL102" t="s">
        <v>994</v>
      </c>
      <c r="AM102" t="s">
        <v>476</v>
      </c>
      <c r="AN102" t="s">
        <v>1519</v>
      </c>
      <c r="AO102" t="s">
        <v>1520</v>
      </c>
      <c r="AP102" t="s">
        <v>1521</v>
      </c>
      <c r="AQ102" t="s">
        <v>74</v>
      </c>
      <c r="AR102" t="s">
        <v>1522</v>
      </c>
      <c r="AS102" t="s">
        <v>1523</v>
      </c>
      <c r="AT102" t="s">
        <v>94</v>
      </c>
      <c r="AU102">
        <v>2006</v>
      </c>
      <c r="AV102">
        <v>29</v>
      </c>
      <c r="AW102">
        <v>9</v>
      </c>
      <c r="AX102" t="s">
        <v>74</v>
      </c>
      <c r="AY102" t="s">
        <v>74</v>
      </c>
      <c r="AZ102" t="s">
        <v>74</v>
      </c>
      <c r="BA102" t="s">
        <v>74</v>
      </c>
      <c r="BB102">
        <v>764</v>
      </c>
      <c r="BC102">
        <v>771</v>
      </c>
      <c r="BD102" t="s">
        <v>74</v>
      </c>
      <c r="BE102" t="s">
        <v>1578</v>
      </c>
      <c r="BF102" t="str">
        <f>HYPERLINK("http://dx.doi.org/10.1007/s00300-006-0113-x","http://dx.doi.org/10.1007/s00300-006-0113-x")</f>
        <v>http://dx.doi.org/10.1007/s00300-006-0113-x</v>
      </c>
      <c r="BG102" t="s">
        <v>74</v>
      </c>
      <c r="BH102" t="s">
        <v>74</v>
      </c>
      <c r="BI102">
        <v>8</v>
      </c>
      <c r="BJ102" t="s">
        <v>1525</v>
      </c>
      <c r="BK102" t="s">
        <v>97</v>
      </c>
      <c r="BL102" t="s">
        <v>1526</v>
      </c>
      <c r="BM102" t="s">
        <v>1527</v>
      </c>
      <c r="BN102" t="s">
        <v>74</v>
      </c>
      <c r="BO102" t="s">
        <v>74</v>
      </c>
      <c r="BP102" t="s">
        <v>74</v>
      </c>
      <c r="BQ102" t="s">
        <v>74</v>
      </c>
      <c r="BR102" t="s">
        <v>100</v>
      </c>
      <c r="BS102" t="s">
        <v>1579</v>
      </c>
      <c r="BT102" t="str">
        <f>HYPERLINK("https%3A%2F%2Fwww.webofscience.com%2Fwos%2Fwoscc%2Ffull-record%2FWOS:000239172200006","View Full Record in Web of Science")</f>
        <v>View Full Record in Web of Science</v>
      </c>
    </row>
    <row r="103" spans="1:72" x14ac:dyDescent="0.15">
      <c r="A103" t="s">
        <v>72</v>
      </c>
      <c r="B103" t="s">
        <v>1580</v>
      </c>
      <c r="C103" t="s">
        <v>74</v>
      </c>
      <c r="D103" t="s">
        <v>74</v>
      </c>
      <c r="E103" t="s">
        <v>74</v>
      </c>
      <c r="F103" t="s">
        <v>1581</v>
      </c>
      <c r="G103" t="s">
        <v>74</v>
      </c>
      <c r="H103" t="s">
        <v>74</v>
      </c>
      <c r="I103" t="s">
        <v>1582</v>
      </c>
      <c r="J103" t="s">
        <v>1511</v>
      </c>
      <c r="K103" t="s">
        <v>74</v>
      </c>
      <c r="L103" t="s">
        <v>74</v>
      </c>
      <c r="M103" t="s">
        <v>78</v>
      </c>
      <c r="N103" t="s">
        <v>79</v>
      </c>
      <c r="O103" t="s">
        <v>74</v>
      </c>
      <c r="P103" t="s">
        <v>74</v>
      </c>
      <c r="Q103" t="s">
        <v>74</v>
      </c>
      <c r="R103" t="s">
        <v>74</v>
      </c>
      <c r="S103" t="s">
        <v>74</v>
      </c>
      <c r="T103" t="s">
        <v>74</v>
      </c>
      <c r="U103" t="s">
        <v>1583</v>
      </c>
      <c r="V103" t="s">
        <v>1584</v>
      </c>
      <c r="W103" t="s">
        <v>1585</v>
      </c>
      <c r="X103" t="s">
        <v>1586</v>
      </c>
      <c r="Y103" t="s">
        <v>1587</v>
      </c>
      <c r="Z103" t="s">
        <v>1588</v>
      </c>
      <c r="AA103" t="s">
        <v>1589</v>
      </c>
      <c r="AB103" t="s">
        <v>1590</v>
      </c>
      <c r="AC103" t="s">
        <v>1550</v>
      </c>
      <c r="AD103" t="s">
        <v>1328</v>
      </c>
      <c r="AE103" t="s">
        <v>74</v>
      </c>
      <c r="AF103" t="s">
        <v>74</v>
      </c>
      <c r="AG103">
        <v>24</v>
      </c>
      <c r="AH103">
        <v>54</v>
      </c>
      <c r="AI103">
        <v>60</v>
      </c>
      <c r="AJ103">
        <v>1</v>
      </c>
      <c r="AK103">
        <v>18</v>
      </c>
      <c r="AL103" t="s">
        <v>994</v>
      </c>
      <c r="AM103" t="s">
        <v>476</v>
      </c>
      <c r="AN103" t="s">
        <v>1519</v>
      </c>
      <c r="AO103" t="s">
        <v>1520</v>
      </c>
      <c r="AP103" t="s">
        <v>74</v>
      </c>
      <c r="AQ103" t="s">
        <v>74</v>
      </c>
      <c r="AR103" t="s">
        <v>1522</v>
      </c>
      <c r="AS103" t="s">
        <v>1523</v>
      </c>
      <c r="AT103" t="s">
        <v>94</v>
      </c>
      <c r="AU103">
        <v>2006</v>
      </c>
      <c r="AV103">
        <v>29</v>
      </c>
      <c r="AW103">
        <v>9</v>
      </c>
      <c r="AX103" t="s">
        <v>74</v>
      </c>
      <c r="AY103" t="s">
        <v>74</v>
      </c>
      <c r="AZ103" t="s">
        <v>74</v>
      </c>
      <c r="BA103" t="s">
        <v>74</v>
      </c>
      <c r="BB103">
        <v>772</v>
      </c>
      <c r="BC103">
        <v>781</v>
      </c>
      <c r="BD103" t="s">
        <v>74</v>
      </c>
      <c r="BE103" t="s">
        <v>1591</v>
      </c>
      <c r="BF103" t="str">
        <f>HYPERLINK("http://dx.doi.org/10.1007/s00300-006-0114-9","http://dx.doi.org/10.1007/s00300-006-0114-9")</f>
        <v>http://dx.doi.org/10.1007/s00300-006-0114-9</v>
      </c>
      <c r="BG103" t="s">
        <v>74</v>
      </c>
      <c r="BH103" t="s">
        <v>74</v>
      </c>
      <c r="BI103">
        <v>10</v>
      </c>
      <c r="BJ103" t="s">
        <v>1525</v>
      </c>
      <c r="BK103" t="s">
        <v>97</v>
      </c>
      <c r="BL103" t="s">
        <v>1526</v>
      </c>
      <c r="BM103" t="s">
        <v>1527</v>
      </c>
      <c r="BN103" t="s">
        <v>74</v>
      </c>
      <c r="BO103" t="s">
        <v>74</v>
      </c>
      <c r="BP103" t="s">
        <v>74</v>
      </c>
      <c r="BQ103" t="s">
        <v>74</v>
      </c>
      <c r="BR103" t="s">
        <v>100</v>
      </c>
      <c r="BS103" t="s">
        <v>1592</v>
      </c>
      <c r="BT103" t="str">
        <f>HYPERLINK("https%3A%2F%2Fwww.webofscience.com%2Fwos%2Fwoscc%2Ffull-record%2FWOS:000239172200007","View Full Record in Web of Science")</f>
        <v>View Full Record in Web of Science</v>
      </c>
    </row>
    <row r="104" spans="1:72" x14ac:dyDescent="0.15">
      <c r="A104" t="s">
        <v>72</v>
      </c>
      <c r="B104" t="s">
        <v>1593</v>
      </c>
      <c r="C104" t="s">
        <v>74</v>
      </c>
      <c r="D104" t="s">
        <v>74</v>
      </c>
      <c r="E104" t="s">
        <v>74</v>
      </c>
      <c r="F104" t="s">
        <v>1594</v>
      </c>
      <c r="G104" t="s">
        <v>74</v>
      </c>
      <c r="H104" t="s">
        <v>74</v>
      </c>
      <c r="I104" t="s">
        <v>1595</v>
      </c>
      <c r="J104" t="s">
        <v>1511</v>
      </c>
      <c r="K104" t="s">
        <v>74</v>
      </c>
      <c r="L104" t="s">
        <v>74</v>
      </c>
      <c r="M104" t="s">
        <v>78</v>
      </c>
      <c r="N104" t="s">
        <v>79</v>
      </c>
      <c r="O104" t="s">
        <v>74</v>
      </c>
      <c r="P104" t="s">
        <v>74</v>
      </c>
      <c r="Q104" t="s">
        <v>74</v>
      </c>
      <c r="R104" t="s">
        <v>74</v>
      </c>
      <c r="S104" t="s">
        <v>74</v>
      </c>
      <c r="T104" t="s">
        <v>74</v>
      </c>
      <c r="U104" t="s">
        <v>1596</v>
      </c>
      <c r="V104" t="s">
        <v>1597</v>
      </c>
      <c r="W104" t="s">
        <v>1598</v>
      </c>
      <c r="X104" t="s">
        <v>1599</v>
      </c>
      <c r="Y104" t="s">
        <v>1600</v>
      </c>
      <c r="Z104" t="s">
        <v>1601</v>
      </c>
      <c r="AA104" t="s">
        <v>1602</v>
      </c>
      <c r="AB104" t="s">
        <v>1603</v>
      </c>
      <c r="AC104" t="s">
        <v>74</v>
      </c>
      <c r="AD104" t="s">
        <v>74</v>
      </c>
      <c r="AE104" t="s">
        <v>74</v>
      </c>
      <c r="AF104" t="s">
        <v>74</v>
      </c>
      <c r="AG104">
        <v>28</v>
      </c>
      <c r="AH104">
        <v>10</v>
      </c>
      <c r="AI104">
        <v>10</v>
      </c>
      <c r="AJ104">
        <v>0</v>
      </c>
      <c r="AK104">
        <v>8</v>
      </c>
      <c r="AL104" t="s">
        <v>994</v>
      </c>
      <c r="AM104" t="s">
        <v>476</v>
      </c>
      <c r="AN104" t="s">
        <v>995</v>
      </c>
      <c r="AO104" t="s">
        <v>1520</v>
      </c>
      <c r="AP104" t="s">
        <v>74</v>
      </c>
      <c r="AQ104" t="s">
        <v>74</v>
      </c>
      <c r="AR104" t="s">
        <v>1522</v>
      </c>
      <c r="AS104" t="s">
        <v>1523</v>
      </c>
      <c r="AT104" t="s">
        <v>94</v>
      </c>
      <c r="AU104">
        <v>2006</v>
      </c>
      <c r="AV104">
        <v>29</v>
      </c>
      <c r="AW104">
        <v>9</v>
      </c>
      <c r="AX104" t="s">
        <v>74</v>
      </c>
      <c r="AY104" t="s">
        <v>74</v>
      </c>
      <c r="AZ104" t="s">
        <v>74</v>
      </c>
      <c r="BA104" t="s">
        <v>74</v>
      </c>
      <c r="BB104">
        <v>791</v>
      </c>
      <c r="BC104">
        <v>795</v>
      </c>
      <c r="BD104" t="s">
        <v>74</v>
      </c>
      <c r="BE104" t="s">
        <v>1604</v>
      </c>
      <c r="BF104" t="str">
        <f>HYPERLINK("http://dx.doi.org/10.1007/s00300-006-0116-7","http://dx.doi.org/10.1007/s00300-006-0116-7")</f>
        <v>http://dx.doi.org/10.1007/s00300-006-0116-7</v>
      </c>
      <c r="BG104" t="s">
        <v>74</v>
      </c>
      <c r="BH104" t="s">
        <v>74</v>
      </c>
      <c r="BI104">
        <v>5</v>
      </c>
      <c r="BJ104" t="s">
        <v>1525</v>
      </c>
      <c r="BK104" t="s">
        <v>97</v>
      </c>
      <c r="BL104" t="s">
        <v>1526</v>
      </c>
      <c r="BM104" t="s">
        <v>1527</v>
      </c>
      <c r="BN104" t="s">
        <v>74</v>
      </c>
      <c r="BO104" t="s">
        <v>74</v>
      </c>
      <c r="BP104" t="s">
        <v>74</v>
      </c>
      <c r="BQ104" t="s">
        <v>74</v>
      </c>
      <c r="BR104" t="s">
        <v>100</v>
      </c>
      <c r="BS104" t="s">
        <v>1605</v>
      </c>
      <c r="BT104" t="str">
        <f>HYPERLINK("https%3A%2F%2Fwww.webofscience.com%2Fwos%2Fwoscc%2Ffull-record%2FWOS:000239172200009","View Full Record in Web of Science")</f>
        <v>View Full Record in Web of Science</v>
      </c>
    </row>
    <row r="105" spans="1:72" x14ac:dyDescent="0.15">
      <c r="A105" t="s">
        <v>72</v>
      </c>
      <c r="B105" t="s">
        <v>1606</v>
      </c>
      <c r="C105" t="s">
        <v>74</v>
      </c>
      <c r="D105" t="s">
        <v>74</v>
      </c>
      <c r="E105" t="s">
        <v>74</v>
      </c>
      <c r="F105" t="s">
        <v>1607</v>
      </c>
      <c r="G105" t="s">
        <v>74</v>
      </c>
      <c r="H105" t="s">
        <v>74</v>
      </c>
      <c r="I105" t="s">
        <v>1608</v>
      </c>
      <c r="J105" t="s">
        <v>1511</v>
      </c>
      <c r="K105" t="s">
        <v>74</v>
      </c>
      <c r="L105" t="s">
        <v>74</v>
      </c>
      <c r="M105" t="s">
        <v>78</v>
      </c>
      <c r="N105" t="s">
        <v>79</v>
      </c>
      <c r="O105" t="s">
        <v>74</v>
      </c>
      <c r="P105" t="s">
        <v>74</v>
      </c>
      <c r="Q105" t="s">
        <v>74</v>
      </c>
      <c r="R105" t="s">
        <v>74</v>
      </c>
      <c r="S105" t="s">
        <v>74</v>
      </c>
      <c r="T105" t="s">
        <v>74</v>
      </c>
      <c r="U105" t="s">
        <v>1609</v>
      </c>
      <c r="V105" t="s">
        <v>1610</v>
      </c>
      <c r="W105" t="s">
        <v>1611</v>
      </c>
      <c r="X105" t="s">
        <v>1612</v>
      </c>
      <c r="Y105" t="s">
        <v>1613</v>
      </c>
      <c r="Z105" t="s">
        <v>1614</v>
      </c>
      <c r="AA105" t="s">
        <v>1615</v>
      </c>
      <c r="AB105" t="s">
        <v>1616</v>
      </c>
      <c r="AC105" t="s">
        <v>74</v>
      </c>
      <c r="AD105" t="s">
        <v>74</v>
      </c>
      <c r="AE105" t="s">
        <v>74</v>
      </c>
      <c r="AF105" t="s">
        <v>74</v>
      </c>
      <c r="AG105">
        <v>29</v>
      </c>
      <c r="AH105">
        <v>17</v>
      </c>
      <c r="AI105">
        <v>18</v>
      </c>
      <c r="AJ105">
        <v>0</v>
      </c>
      <c r="AK105">
        <v>4</v>
      </c>
      <c r="AL105" t="s">
        <v>994</v>
      </c>
      <c r="AM105" t="s">
        <v>476</v>
      </c>
      <c r="AN105" t="s">
        <v>1551</v>
      </c>
      <c r="AO105" t="s">
        <v>1520</v>
      </c>
      <c r="AP105" t="s">
        <v>1521</v>
      </c>
      <c r="AQ105" t="s">
        <v>74</v>
      </c>
      <c r="AR105" t="s">
        <v>1522</v>
      </c>
      <c r="AS105" t="s">
        <v>1523</v>
      </c>
      <c r="AT105" t="s">
        <v>94</v>
      </c>
      <c r="AU105">
        <v>2006</v>
      </c>
      <c r="AV105">
        <v>29</v>
      </c>
      <c r="AW105">
        <v>9</v>
      </c>
      <c r="AX105" t="s">
        <v>74</v>
      </c>
      <c r="AY105" t="s">
        <v>74</v>
      </c>
      <c r="AZ105" t="s">
        <v>74</v>
      </c>
      <c r="BA105" t="s">
        <v>74</v>
      </c>
      <c r="BB105">
        <v>806</v>
      </c>
      <c r="BC105">
        <v>812</v>
      </c>
      <c r="BD105" t="s">
        <v>74</v>
      </c>
      <c r="BE105" t="s">
        <v>1617</v>
      </c>
      <c r="BF105" t="str">
        <f>HYPERLINK("http://dx.doi.org/10.1007/s00300-006-0118-5","http://dx.doi.org/10.1007/s00300-006-0118-5")</f>
        <v>http://dx.doi.org/10.1007/s00300-006-0118-5</v>
      </c>
      <c r="BG105" t="s">
        <v>74</v>
      </c>
      <c r="BH105" t="s">
        <v>74</v>
      </c>
      <c r="BI105">
        <v>7</v>
      </c>
      <c r="BJ105" t="s">
        <v>1525</v>
      </c>
      <c r="BK105" t="s">
        <v>97</v>
      </c>
      <c r="BL105" t="s">
        <v>1526</v>
      </c>
      <c r="BM105" t="s">
        <v>1527</v>
      </c>
      <c r="BN105" t="s">
        <v>74</v>
      </c>
      <c r="BO105" t="s">
        <v>74</v>
      </c>
      <c r="BP105" t="s">
        <v>74</v>
      </c>
      <c r="BQ105" t="s">
        <v>74</v>
      </c>
      <c r="BR105" t="s">
        <v>100</v>
      </c>
      <c r="BS105" t="s">
        <v>1618</v>
      </c>
      <c r="BT105" t="str">
        <f>HYPERLINK("https%3A%2F%2Fwww.webofscience.com%2Fwos%2Fwoscc%2Ffull-record%2FWOS:000239172200011","View Full Record in Web of Science")</f>
        <v>View Full Record in Web of Science</v>
      </c>
    </row>
    <row r="106" spans="1:72" x14ac:dyDescent="0.15">
      <c r="A106" t="s">
        <v>72</v>
      </c>
      <c r="B106" t="s">
        <v>1619</v>
      </c>
      <c r="C106" t="s">
        <v>74</v>
      </c>
      <c r="D106" t="s">
        <v>74</v>
      </c>
      <c r="E106" t="s">
        <v>74</v>
      </c>
      <c r="F106" t="s">
        <v>1620</v>
      </c>
      <c r="G106" t="s">
        <v>74</v>
      </c>
      <c r="H106" t="s">
        <v>74</v>
      </c>
      <c r="I106" t="s">
        <v>1621</v>
      </c>
      <c r="J106" t="s">
        <v>1622</v>
      </c>
      <c r="K106" t="s">
        <v>74</v>
      </c>
      <c r="L106" t="s">
        <v>74</v>
      </c>
      <c r="M106" t="s">
        <v>78</v>
      </c>
      <c r="N106" t="s">
        <v>79</v>
      </c>
      <c r="O106" t="s">
        <v>74</v>
      </c>
      <c r="P106" t="s">
        <v>74</v>
      </c>
      <c r="Q106" t="s">
        <v>74</v>
      </c>
      <c r="R106" t="s">
        <v>74</v>
      </c>
      <c r="S106" t="s">
        <v>74</v>
      </c>
      <c r="T106" t="s">
        <v>74</v>
      </c>
      <c r="U106" t="s">
        <v>1623</v>
      </c>
      <c r="V106" t="s">
        <v>1624</v>
      </c>
      <c r="W106" t="s">
        <v>1625</v>
      </c>
      <c r="X106" t="s">
        <v>1626</v>
      </c>
      <c r="Y106" t="s">
        <v>1627</v>
      </c>
      <c r="Z106" t="s">
        <v>1628</v>
      </c>
      <c r="AA106" t="s">
        <v>74</v>
      </c>
      <c r="AB106" t="s">
        <v>74</v>
      </c>
      <c r="AC106" t="s">
        <v>74</v>
      </c>
      <c r="AD106" t="s">
        <v>74</v>
      </c>
      <c r="AE106" t="s">
        <v>74</v>
      </c>
      <c r="AF106" t="s">
        <v>74</v>
      </c>
      <c r="AG106">
        <v>41</v>
      </c>
      <c r="AH106">
        <v>43</v>
      </c>
      <c r="AI106">
        <v>43</v>
      </c>
      <c r="AJ106">
        <v>2</v>
      </c>
      <c r="AK106">
        <v>5</v>
      </c>
      <c r="AL106" t="s">
        <v>1629</v>
      </c>
      <c r="AM106" t="s">
        <v>1630</v>
      </c>
      <c r="AN106" t="s">
        <v>1631</v>
      </c>
      <c r="AO106" t="s">
        <v>1632</v>
      </c>
      <c r="AP106" t="s">
        <v>1633</v>
      </c>
      <c r="AQ106" t="s">
        <v>74</v>
      </c>
      <c r="AR106" t="s">
        <v>1634</v>
      </c>
      <c r="AS106" t="s">
        <v>1635</v>
      </c>
      <c r="AT106" t="s">
        <v>94</v>
      </c>
      <c r="AU106">
        <v>2006</v>
      </c>
      <c r="AV106">
        <v>118</v>
      </c>
      <c r="AW106">
        <v>846</v>
      </c>
      <c r="AX106" t="s">
        <v>74</v>
      </c>
      <c r="AY106" t="s">
        <v>74</v>
      </c>
      <c r="AZ106" t="s">
        <v>74</v>
      </c>
      <c r="BA106" t="s">
        <v>74</v>
      </c>
      <c r="BB106">
        <v>1190</v>
      </c>
      <c r="BC106">
        <v>1197</v>
      </c>
      <c r="BD106" t="s">
        <v>74</v>
      </c>
      <c r="BE106" t="s">
        <v>1636</v>
      </c>
      <c r="BF106" t="str">
        <f>HYPERLINK("http://dx.doi.org/10.1086/507153","http://dx.doi.org/10.1086/507153")</f>
        <v>http://dx.doi.org/10.1086/507153</v>
      </c>
      <c r="BG106" t="s">
        <v>74</v>
      </c>
      <c r="BH106" t="s">
        <v>74</v>
      </c>
      <c r="BI106">
        <v>8</v>
      </c>
      <c r="BJ106" t="s">
        <v>1637</v>
      </c>
      <c r="BK106" t="s">
        <v>97</v>
      </c>
      <c r="BL106" t="s">
        <v>1637</v>
      </c>
      <c r="BM106" t="s">
        <v>1638</v>
      </c>
      <c r="BN106" t="s">
        <v>74</v>
      </c>
      <c r="BO106" t="s">
        <v>460</v>
      </c>
      <c r="BP106" t="s">
        <v>74</v>
      </c>
      <c r="BQ106" t="s">
        <v>74</v>
      </c>
      <c r="BR106" t="s">
        <v>100</v>
      </c>
      <c r="BS106" t="s">
        <v>1639</v>
      </c>
      <c r="BT106" t="str">
        <f>HYPERLINK("https%3A%2F%2Fwww.webofscience.com%2Fwos%2Fwoscc%2Ffull-record%2FWOS:000239884900013","View Full Record in Web of Science")</f>
        <v>View Full Record in Web of Science</v>
      </c>
    </row>
    <row r="107" spans="1:72" x14ac:dyDescent="0.15">
      <c r="A107" t="s">
        <v>72</v>
      </c>
      <c r="B107" t="s">
        <v>1640</v>
      </c>
      <c r="C107" t="s">
        <v>74</v>
      </c>
      <c r="D107" t="s">
        <v>74</v>
      </c>
      <c r="E107" t="s">
        <v>74</v>
      </c>
      <c r="F107" t="s">
        <v>1641</v>
      </c>
      <c r="G107" t="s">
        <v>74</v>
      </c>
      <c r="H107" t="s">
        <v>74</v>
      </c>
      <c r="I107" t="s">
        <v>1642</v>
      </c>
      <c r="J107" t="s">
        <v>1643</v>
      </c>
      <c r="K107" t="s">
        <v>74</v>
      </c>
      <c r="L107" t="s">
        <v>74</v>
      </c>
      <c r="M107" t="s">
        <v>78</v>
      </c>
      <c r="N107" t="s">
        <v>1226</v>
      </c>
      <c r="O107" t="s">
        <v>1644</v>
      </c>
      <c r="P107" t="s">
        <v>1645</v>
      </c>
      <c r="Q107" t="s">
        <v>1646</v>
      </c>
      <c r="R107" t="s">
        <v>74</v>
      </c>
      <c r="S107" t="s">
        <v>74</v>
      </c>
      <c r="T107" t="s">
        <v>1647</v>
      </c>
      <c r="U107" t="s">
        <v>1648</v>
      </c>
      <c r="V107" t="s">
        <v>1649</v>
      </c>
      <c r="W107" t="s">
        <v>1650</v>
      </c>
      <c r="X107" t="s">
        <v>1651</v>
      </c>
      <c r="Y107" t="s">
        <v>1652</v>
      </c>
      <c r="Z107" t="s">
        <v>1653</v>
      </c>
      <c r="AA107" t="s">
        <v>1654</v>
      </c>
      <c r="AB107" t="s">
        <v>1655</v>
      </c>
      <c r="AC107" t="s">
        <v>74</v>
      </c>
      <c r="AD107" t="s">
        <v>74</v>
      </c>
      <c r="AE107" t="s">
        <v>74</v>
      </c>
      <c r="AF107" t="s">
        <v>74</v>
      </c>
      <c r="AG107">
        <v>11</v>
      </c>
      <c r="AH107">
        <v>3</v>
      </c>
      <c r="AI107">
        <v>3</v>
      </c>
      <c r="AJ107">
        <v>0</v>
      </c>
      <c r="AK107">
        <v>1</v>
      </c>
      <c r="AL107" t="s">
        <v>387</v>
      </c>
      <c r="AM107" t="s">
        <v>388</v>
      </c>
      <c r="AN107" t="s">
        <v>389</v>
      </c>
      <c r="AO107" t="s">
        <v>1656</v>
      </c>
      <c r="AP107" t="s">
        <v>74</v>
      </c>
      <c r="AQ107" t="s">
        <v>74</v>
      </c>
      <c r="AR107" t="s">
        <v>1657</v>
      </c>
      <c r="AS107" t="s">
        <v>1658</v>
      </c>
      <c r="AT107" t="s">
        <v>94</v>
      </c>
      <c r="AU107">
        <v>2006</v>
      </c>
      <c r="AV107">
        <v>75</v>
      </c>
      <c r="AW107">
        <v>8</v>
      </c>
      <c r="AX107" t="s">
        <v>74</v>
      </c>
      <c r="AY107" t="s">
        <v>74</v>
      </c>
      <c r="AZ107" t="s">
        <v>74</v>
      </c>
      <c r="BA107" t="s">
        <v>74</v>
      </c>
      <c r="BB107">
        <v>887</v>
      </c>
      <c r="BC107">
        <v>890</v>
      </c>
      <c r="BD107" t="s">
        <v>74</v>
      </c>
      <c r="BE107" t="s">
        <v>1659</v>
      </c>
      <c r="BF107" t="str">
        <f>HYPERLINK("http://dx.doi.org/10.1016/j.radphyschem.2005.12.013","http://dx.doi.org/10.1016/j.radphyschem.2005.12.013")</f>
        <v>http://dx.doi.org/10.1016/j.radphyschem.2005.12.013</v>
      </c>
      <c r="BG107" t="s">
        <v>74</v>
      </c>
      <c r="BH107" t="s">
        <v>74</v>
      </c>
      <c r="BI107">
        <v>4</v>
      </c>
      <c r="BJ107" t="s">
        <v>1660</v>
      </c>
      <c r="BK107" t="s">
        <v>668</v>
      </c>
      <c r="BL107" t="s">
        <v>1661</v>
      </c>
      <c r="BM107" t="s">
        <v>1662</v>
      </c>
      <c r="BN107" t="s">
        <v>74</v>
      </c>
      <c r="BO107" t="s">
        <v>74</v>
      </c>
      <c r="BP107" t="s">
        <v>74</v>
      </c>
      <c r="BQ107" t="s">
        <v>74</v>
      </c>
      <c r="BR107" t="s">
        <v>100</v>
      </c>
      <c r="BS107" t="s">
        <v>1663</v>
      </c>
      <c r="BT107" t="str">
        <f>HYPERLINK("https%3A%2F%2Fwww.webofscience.com%2Fwos%2Fwoscc%2Ffull-record%2FWOS:000239884700016","View Full Record in Web of Science")</f>
        <v>View Full Record in Web of Science</v>
      </c>
    </row>
    <row r="108" spans="1:72" x14ac:dyDescent="0.15">
      <c r="A108" t="s">
        <v>72</v>
      </c>
      <c r="B108" t="s">
        <v>1664</v>
      </c>
      <c r="C108" t="s">
        <v>74</v>
      </c>
      <c r="D108" t="s">
        <v>74</v>
      </c>
      <c r="E108" t="s">
        <v>74</v>
      </c>
      <c r="F108" t="s">
        <v>1665</v>
      </c>
      <c r="G108" t="s">
        <v>74</v>
      </c>
      <c r="H108" t="s">
        <v>74</v>
      </c>
      <c r="I108" t="s">
        <v>1666</v>
      </c>
      <c r="J108" t="s">
        <v>1667</v>
      </c>
      <c r="K108" t="s">
        <v>74</v>
      </c>
      <c r="L108" t="s">
        <v>74</v>
      </c>
      <c r="M108" t="s">
        <v>78</v>
      </c>
      <c r="N108" t="s">
        <v>79</v>
      </c>
      <c r="O108" t="s">
        <v>74</v>
      </c>
      <c r="P108" t="s">
        <v>74</v>
      </c>
      <c r="Q108" t="s">
        <v>74</v>
      </c>
      <c r="R108" t="s">
        <v>74</v>
      </c>
      <c r="S108" t="s">
        <v>74</v>
      </c>
      <c r="T108" t="s">
        <v>1668</v>
      </c>
      <c r="U108" t="s">
        <v>1669</v>
      </c>
      <c r="V108" t="s">
        <v>1670</v>
      </c>
      <c r="W108" t="s">
        <v>1671</v>
      </c>
      <c r="X108" t="s">
        <v>1672</v>
      </c>
      <c r="Y108" t="s">
        <v>1673</v>
      </c>
      <c r="Z108" t="s">
        <v>1674</v>
      </c>
      <c r="AA108" t="s">
        <v>1675</v>
      </c>
      <c r="AB108" t="s">
        <v>1676</v>
      </c>
      <c r="AC108" t="s">
        <v>74</v>
      </c>
      <c r="AD108" t="s">
        <v>74</v>
      </c>
      <c r="AE108" t="s">
        <v>74</v>
      </c>
      <c r="AF108" t="s">
        <v>74</v>
      </c>
      <c r="AG108">
        <v>46</v>
      </c>
      <c r="AH108">
        <v>9</v>
      </c>
      <c r="AI108">
        <v>9</v>
      </c>
      <c r="AJ108">
        <v>0</v>
      </c>
      <c r="AK108">
        <v>6</v>
      </c>
      <c r="AL108" t="s">
        <v>115</v>
      </c>
      <c r="AM108" t="s">
        <v>116</v>
      </c>
      <c r="AN108" t="s">
        <v>117</v>
      </c>
      <c r="AO108" t="s">
        <v>1677</v>
      </c>
      <c r="AP108" t="s">
        <v>1678</v>
      </c>
      <c r="AQ108" t="s">
        <v>74</v>
      </c>
      <c r="AR108" t="s">
        <v>1667</v>
      </c>
      <c r="AS108" t="s">
        <v>1679</v>
      </c>
      <c r="AT108" t="s">
        <v>94</v>
      </c>
      <c r="AU108">
        <v>2006</v>
      </c>
      <c r="AV108">
        <v>53</v>
      </c>
      <c r="AW108">
        <v>4</v>
      </c>
      <c r="AX108" t="s">
        <v>74</v>
      </c>
      <c r="AY108" t="s">
        <v>74</v>
      </c>
      <c r="AZ108" t="s">
        <v>74</v>
      </c>
      <c r="BA108" t="s">
        <v>74</v>
      </c>
      <c r="BB108">
        <v>929</v>
      </c>
      <c r="BC108">
        <v>942</v>
      </c>
      <c r="BD108" t="s">
        <v>74</v>
      </c>
      <c r="BE108" t="s">
        <v>1680</v>
      </c>
      <c r="BF108" t="str">
        <f>HYPERLINK("http://dx.doi.org/10.1111/j.1365-3091.2006.00796.x","http://dx.doi.org/10.1111/j.1365-3091.2006.00796.x")</f>
        <v>http://dx.doi.org/10.1111/j.1365-3091.2006.00796.x</v>
      </c>
      <c r="BG108" t="s">
        <v>74</v>
      </c>
      <c r="BH108" t="s">
        <v>74</v>
      </c>
      <c r="BI108">
        <v>14</v>
      </c>
      <c r="BJ108" t="s">
        <v>528</v>
      </c>
      <c r="BK108" t="s">
        <v>97</v>
      </c>
      <c r="BL108" t="s">
        <v>528</v>
      </c>
      <c r="BM108" t="s">
        <v>1681</v>
      </c>
      <c r="BN108" t="s">
        <v>74</v>
      </c>
      <c r="BO108" t="s">
        <v>74</v>
      </c>
      <c r="BP108" t="s">
        <v>74</v>
      </c>
      <c r="BQ108" t="s">
        <v>74</v>
      </c>
      <c r="BR108" t="s">
        <v>100</v>
      </c>
      <c r="BS108" t="s">
        <v>1682</v>
      </c>
      <c r="BT108" t="str">
        <f>HYPERLINK("https%3A%2F%2Fwww.webofscience.com%2Fwos%2Fwoscc%2Ffull-record%2FWOS:000239011100011","View Full Record in Web of Science")</f>
        <v>View Full Record in Web of Science</v>
      </c>
    </row>
    <row r="109" spans="1:72" x14ac:dyDescent="0.15">
      <c r="A109" t="s">
        <v>72</v>
      </c>
      <c r="B109" t="s">
        <v>1683</v>
      </c>
      <c r="C109" t="s">
        <v>74</v>
      </c>
      <c r="D109" t="s">
        <v>74</v>
      </c>
      <c r="E109" t="s">
        <v>74</v>
      </c>
      <c r="F109" t="s">
        <v>1684</v>
      </c>
      <c r="G109" t="s">
        <v>74</v>
      </c>
      <c r="H109" t="s">
        <v>74</v>
      </c>
      <c r="I109" t="s">
        <v>1685</v>
      </c>
      <c r="J109" t="s">
        <v>1686</v>
      </c>
      <c r="K109" t="s">
        <v>74</v>
      </c>
      <c r="L109" t="s">
        <v>74</v>
      </c>
      <c r="M109" t="s">
        <v>78</v>
      </c>
      <c r="N109" t="s">
        <v>79</v>
      </c>
      <c r="O109" t="s">
        <v>74</v>
      </c>
      <c r="P109" t="s">
        <v>74</v>
      </c>
      <c r="Q109" t="s">
        <v>74</v>
      </c>
      <c r="R109" t="s">
        <v>74</v>
      </c>
      <c r="S109" t="s">
        <v>74</v>
      </c>
      <c r="T109" t="s">
        <v>74</v>
      </c>
      <c r="U109" t="s">
        <v>1687</v>
      </c>
      <c r="V109" t="s">
        <v>1688</v>
      </c>
      <c r="W109" t="s">
        <v>1689</v>
      </c>
      <c r="X109" t="s">
        <v>1690</v>
      </c>
      <c r="Y109" t="s">
        <v>1691</v>
      </c>
      <c r="Z109" t="s">
        <v>1692</v>
      </c>
      <c r="AA109" t="s">
        <v>74</v>
      </c>
      <c r="AB109" t="s">
        <v>74</v>
      </c>
      <c r="AC109" t="s">
        <v>74</v>
      </c>
      <c r="AD109" t="s">
        <v>74</v>
      </c>
      <c r="AE109" t="s">
        <v>74</v>
      </c>
      <c r="AF109" t="s">
        <v>74</v>
      </c>
      <c r="AG109">
        <v>50</v>
      </c>
      <c r="AH109">
        <v>15</v>
      </c>
      <c r="AI109">
        <v>19</v>
      </c>
      <c r="AJ109">
        <v>0</v>
      </c>
      <c r="AK109">
        <v>0</v>
      </c>
      <c r="AL109" t="s">
        <v>519</v>
      </c>
      <c r="AM109" t="s">
        <v>520</v>
      </c>
      <c r="AN109" t="s">
        <v>521</v>
      </c>
      <c r="AO109" t="s">
        <v>1693</v>
      </c>
      <c r="AP109" t="s">
        <v>1694</v>
      </c>
      <c r="AQ109" t="s">
        <v>74</v>
      </c>
      <c r="AR109" t="s">
        <v>1695</v>
      </c>
      <c r="AS109" t="s">
        <v>1696</v>
      </c>
      <c r="AT109" t="s">
        <v>94</v>
      </c>
      <c r="AU109">
        <v>2006</v>
      </c>
      <c r="AV109">
        <v>72</v>
      </c>
      <c r="AW109">
        <v>3</v>
      </c>
      <c r="AX109" t="s">
        <v>74</v>
      </c>
      <c r="AY109" t="s">
        <v>74</v>
      </c>
      <c r="AZ109" t="s">
        <v>74</v>
      </c>
      <c r="BA109" t="s">
        <v>74</v>
      </c>
      <c r="BB109">
        <v>353</v>
      </c>
      <c r="BC109">
        <v>366</v>
      </c>
      <c r="BD109" t="s">
        <v>74</v>
      </c>
      <c r="BE109" t="s">
        <v>1697</v>
      </c>
      <c r="BF109" t="str">
        <f>HYPERLINK("http://dx.doi.org/10.1016/j.sajb.2005.09.008","http://dx.doi.org/10.1016/j.sajb.2005.09.008")</f>
        <v>http://dx.doi.org/10.1016/j.sajb.2005.09.008</v>
      </c>
      <c r="BG109" t="s">
        <v>74</v>
      </c>
      <c r="BH109" t="s">
        <v>74</v>
      </c>
      <c r="BI109">
        <v>14</v>
      </c>
      <c r="BJ109" t="s">
        <v>1114</v>
      </c>
      <c r="BK109" t="s">
        <v>97</v>
      </c>
      <c r="BL109" t="s">
        <v>1114</v>
      </c>
      <c r="BM109" t="s">
        <v>1698</v>
      </c>
      <c r="BN109" t="s">
        <v>74</v>
      </c>
      <c r="BO109" t="s">
        <v>901</v>
      </c>
      <c r="BP109" t="s">
        <v>74</v>
      </c>
      <c r="BQ109" t="s">
        <v>74</v>
      </c>
      <c r="BR109" t="s">
        <v>100</v>
      </c>
      <c r="BS109" t="s">
        <v>1699</v>
      </c>
      <c r="BT109" t="str">
        <f>HYPERLINK("https%3A%2F%2Fwww.webofscience.com%2Fwos%2Fwoscc%2Ffull-record%2FWOS:000240299000002","View Full Record in Web of Science")</f>
        <v>View Full Record in Web of Science</v>
      </c>
    </row>
    <row r="110" spans="1:72" x14ac:dyDescent="0.15">
      <c r="A110" t="s">
        <v>72</v>
      </c>
      <c r="B110" t="s">
        <v>1700</v>
      </c>
      <c r="C110" t="s">
        <v>74</v>
      </c>
      <c r="D110" t="s">
        <v>74</v>
      </c>
      <c r="E110" t="s">
        <v>74</v>
      </c>
      <c r="F110" t="s">
        <v>1701</v>
      </c>
      <c r="G110" t="s">
        <v>74</v>
      </c>
      <c r="H110" t="s">
        <v>74</v>
      </c>
      <c r="I110" t="s">
        <v>1702</v>
      </c>
      <c r="J110" t="s">
        <v>1703</v>
      </c>
      <c r="K110" t="s">
        <v>74</v>
      </c>
      <c r="L110" t="s">
        <v>74</v>
      </c>
      <c r="M110" t="s">
        <v>78</v>
      </c>
      <c r="N110" t="s">
        <v>79</v>
      </c>
      <c r="O110" t="s">
        <v>74</v>
      </c>
      <c r="P110" t="s">
        <v>74</v>
      </c>
      <c r="Q110" t="s">
        <v>74</v>
      </c>
      <c r="R110" t="s">
        <v>74</v>
      </c>
      <c r="S110" t="s">
        <v>74</v>
      </c>
      <c r="T110" t="s">
        <v>1704</v>
      </c>
      <c r="U110" t="s">
        <v>1705</v>
      </c>
      <c r="V110" t="s">
        <v>1706</v>
      </c>
      <c r="W110" t="s">
        <v>1707</v>
      </c>
      <c r="X110" t="s">
        <v>1708</v>
      </c>
      <c r="Y110" t="s">
        <v>1709</v>
      </c>
      <c r="Z110" t="s">
        <v>1710</v>
      </c>
      <c r="AA110" t="s">
        <v>1711</v>
      </c>
      <c r="AB110" t="s">
        <v>1712</v>
      </c>
      <c r="AC110" t="s">
        <v>74</v>
      </c>
      <c r="AD110" t="s">
        <v>74</v>
      </c>
      <c r="AE110" t="s">
        <v>74</v>
      </c>
      <c r="AF110" t="s">
        <v>74</v>
      </c>
      <c r="AG110">
        <v>40</v>
      </c>
      <c r="AH110">
        <v>71</v>
      </c>
      <c r="AI110">
        <v>78</v>
      </c>
      <c r="AJ110">
        <v>3</v>
      </c>
      <c r="AK110">
        <v>29</v>
      </c>
      <c r="AL110" t="s">
        <v>519</v>
      </c>
      <c r="AM110" t="s">
        <v>520</v>
      </c>
      <c r="AN110" t="s">
        <v>521</v>
      </c>
      <c r="AO110" t="s">
        <v>1713</v>
      </c>
      <c r="AP110" t="s">
        <v>1714</v>
      </c>
      <c r="AQ110" t="s">
        <v>74</v>
      </c>
      <c r="AR110" t="s">
        <v>1715</v>
      </c>
      <c r="AS110" t="s">
        <v>1716</v>
      </c>
      <c r="AT110" t="s">
        <v>1717</v>
      </c>
      <c r="AU110">
        <v>2006</v>
      </c>
      <c r="AV110">
        <v>366</v>
      </c>
      <c r="AW110">
        <v>1</v>
      </c>
      <c r="AX110" t="s">
        <v>74</v>
      </c>
      <c r="AY110" t="s">
        <v>74</v>
      </c>
      <c r="AZ110" t="s">
        <v>74</v>
      </c>
      <c r="BA110" t="s">
        <v>74</v>
      </c>
      <c r="BB110">
        <v>242</v>
      </c>
      <c r="BC110">
        <v>252</v>
      </c>
      <c r="BD110" t="s">
        <v>74</v>
      </c>
      <c r="BE110" t="s">
        <v>1718</v>
      </c>
      <c r="BF110" t="str">
        <f>HYPERLINK("http://dx.doi.org/10.1016/j.scitotenv.2005.08.014","http://dx.doi.org/10.1016/j.scitotenv.2005.08.014")</f>
        <v>http://dx.doi.org/10.1016/j.scitotenv.2005.08.014</v>
      </c>
      <c r="BG110" t="s">
        <v>74</v>
      </c>
      <c r="BH110" t="s">
        <v>74</v>
      </c>
      <c r="BI110">
        <v>11</v>
      </c>
      <c r="BJ110" t="s">
        <v>439</v>
      </c>
      <c r="BK110" t="s">
        <v>97</v>
      </c>
      <c r="BL110" t="s">
        <v>420</v>
      </c>
      <c r="BM110" t="s">
        <v>1719</v>
      </c>
      <c r="BN110">
        <v>16165190</v>
      </c>
      <c r="BO110" t="s">
        <v>460</v>
      </c>
      <c r="BP110" t="s">
        <v>74</v>
      </c>
      <c r="BQ110" t="s">
        <v>74</v>
      </c>
      <c r="BR110" t="s">
        <v>100</v>
      </c>
      <c r="BS110" t="s">
        <v>1720</v>
      </c>
      <c r="BT110" t="str">
        <f>HYPERLINK("https%3A%2F%2Fwww.webofscience.com%2Fwos%2Fwoscc%2Ffull-record%2FWOS:000239499200024","View Full Record in Web of Science")</f>
        <v>View Full Record in Web of Science</v>
      </c>
    </row>
    <row r="111" spans="1:72" x14ac:dyDescent="0.15">
      <c r="A111" t="s">
        <v>72</v>
      </c>
      <c r="B111" t="s">
        <v>1721</v>
      </c>
      <c r="C111" t="s">
        <v>74</v>
      </c>
      <c r="D111" t="s">
        <v>74</v>
      </c>
      <c r="E111" t="s">
        <v>74</v>
      </c>
      <c r="F111" t="s">
        <v>1722</v>
      </c>
      <c r="G111" t="s">
        <v>74</v>
      </c>
      <c r="H111" t="s">
        <v>74</v>
      </c>
      <c r="I111" t="s">
        <v>1723</v>
      </c>
      <c r="J111" t="s">
        <v>1724</v>
      </c>
      <c r="K111" t="s">
        <v>74</v>
      </c>
      <c r="L111" t="s">
        <v>74</v>
      </c>
      <c r="M111" t="s">
        <v>78</v>
      </c>
      <c r="N111" t="s">
        <v>79</v>
      </c>
      <c r="O111" t="s">
        <v>74</v>
      </c>
      <c r="P111" t="s">
        <v>74</v>
      </c>
      <c r="Q111" t="s">
        <v>74</v>
      </c>
      <c r="R111" t="s">
        <v>74</v>
      </c>
      <c r="S111" t="s">
        <v>74</v>
      </c>
      <c r="T111" t="s">
        <v>1725</v>
      </c>
      <c r="U111" t="s">
        <v>1726</v>
      </c>
      <c r="V111" t="s">
        <v>1727</v>
      </c>
      <c r="W111" t="s">
        <v>1728</v>
      </c>
      <c r="X111" t="s">
        <v>1729</v>
      </c>
      <c r="Y111" t="s">
        <v>1730</v>
      </c>
      <c r="Z111" t="s">
        <v>1731</v>
      </c>
      <c r="AA111" t="s">
        <v>1732</v>
      </c>
      <c r="AB111" t="s">
        <v>1733</v>
      </c>
      <c r="AC111" t="s">
        <v>74</v>
      </c>
      <c r="AD111" t="s">
        <v>74</v>
      </c>
      <c r="AE111" t="s">
        <v>74</v>
      </c>
      <c r="AF111" t="s">
        <v>74</v>
      </c>
      <c r="AG111">
        <v>23</v>
      </c>
      <c r="AH111">
        <v>61</v>
      </c>
      <c r="AI111">
        <v>72</v>
      </c>
      <c r="AJ111">
        <v>2</v>
      </c>
      <c r="AK111">
        <v>161</v>
      </c>
      <c r="AL111" t="s">
        <v>387</v>
      </c>
      <c r="AM111" t="s">
        <v>388</v>
      </c>
      <c r="AN111" t="s">
        <v>389</v>
      </c>
      <c r="AO111" t="s">
        <v>1734</v>
      </c>
      <c r="AP111" t="s">
        <v>74</v>
      </c>
      <c r="AQ111" t="s">
        <v>74</v>
      </c>
      <c r="AR111" t="s">
        <v>1735</v>
      </c>
      <c r="AS111" t="s">
        <v>1736</v>
      </c>
      <c r="AT111" t="s">
        <v>1737</v>
      </c>
      <c r="AU111">
        <v>2006</v>
      </c>
      <c r="AV111">
        <v>88</v>
      </c>
      <c r="AW111" t="s">
        <v>1738</v>
      </c>
      <c r="AX111" t="s">
        <v>74</v>
      </c>
      <c r="AY111" t="s">
        <v>74</v>
      </c>
      <c r="AZ111" t="s">
        <v>74</v>
      </c>
      <c r="BA111" t="s">
        <v>74</v>
      </c>
      <c r="BB111">
        <v>479</v>
      </c>
      <c r="BC111">
        <v>488</v>
      </c>
      <c r="BD111" t="s">
        <v>74</v>
      </c>
      <c r="BE111" t="s">
        <v>1739</v>
      </c>
      <c r="BF111" t="str">
        <f>HYPERLINK("http://dx.doi.org/10.1016/j.physbeh.2006.04.024","http://dx.doi.org/10.1016/j.physbeh.2006.04.024")</f>
        <v>http://dx.doi.org/10.1016/j.physbeh.2006.04.024</v>
      </c>
      <c r="BG111" t="s">
        <v>74</v>
      </c>
      <c r="BH111" t="s">
        <v>74</v>
      </c>
      <c r="BI111">
        <v>10</v>
      </c>
      <c r="BJ111" t="s">
        <v>1740</v>
      </c>
      <c r="BK111" t="s">
        <v>1741</v>
      </c>
      <c r="BL111" t="s">
        <v>1742</v>
      </c>
      <c r="BM111" t="s">
        <v>1743</v>
      </c>
      <c r="BN111">
        <v>16740281</v>
      </c>
      <c r="BO111" t="s">
        <v>147</v>
      </c>
      <c r="BP111" t="s">
        <v>74</v>
      </c>
      <c r="BQ111" t="s">
        <v>74</v>
      </c>
      <c r="BR111" t="s">
        <v>100</v>
      </c>
      <c r="BS111" t="s">
        <v>1744</v>
      </c>
      <c r="BT111" t="str">
        <f>HYPERLINK("https%3A%2F%2Fwww.webofscience.com%2Fwos%2Fwoscc%2Ffull-record%2FWOS:000239857100025","View Full Record in Web of Science")</f>
        <v>View Full Record in Web of Science</v>
      </c>
    </row>
    <row r="112" spans="1:72" x14ac:dyDescent="0.15">
      <c r="A112" t="s">
        <v>72</v>
      </c>
      <c r="B112" t="s">
        <v>1745</v>
      </c>
      <c r="C112" t="s">
        <v>74</v>
      </c>
      <c r="D112" t="s">
        <v>74</v>
      </c>
      <c r="E112" t="s">
        <v>74</v>
      </c>
      <c r="F112" t="s">
        <v>1746</v>
      </c>
      <c r="G112" t="s">
        <v>74</v>
      </c>
      <c r="H112" t="s">
        <v>74</v>
      </c>
      <c r="I112" t="s">
        <v>1747</v>
      </c>
      <c r="J112" t="s">
        <v>1748</v>
      </c>
      <c r="K112" t="s">
        <v>74</v>
      </c>
      <c r="L112" t="s">
        <v>74</v>
      </c>
      <c r="M112" t="s">
        <v>78</v>
      </c>
      <c r="N112" t="s">
        <v>79</v>
      </c>
      <c r="O112" t="s">
        <v>74</v>
      </c>
      <c r="P112" t="s">
        <v>74</v>
      </c>
      <c r="Q112" t="s">
        <v>74</v>
      </c>
      <c r="R112" t="s">
        <v>74</v>
      </c>
      <c r="S112" t="s">
        <v>74</v>
      </c>
      <c r="T112" t="s">
        <v>74</v>
      </c>
      <c r="U112" t="s">
        <v>1749</v>
      </c>
      <c r="V112" t="s">
        <v>1750</v>
      </c>
      <c r="W112" t="s">
        <v>1751</v>
      </c>
      <c r="X112" t="s">
        <v>1752</v>
      </c>
      <c r="Y112" t="s">
        <v>1753</v>
      </c>
      <c r="Z112" t="s">
        <v>1754</v>
      </c>
      <c r="AA112" t="s">
        <v>1755</v>
      </c>
      <c r="AB112" t="s">
        <v>1756</v>
      </c>
      <c r="AC112" t="s">
        <v>74</v>
      </c>
      <c r="AD112" t="s">
        <v>74</v>
      </c>
      <c r="AE112" t="s">
        <v>74</v>
      </c>
      <c r="AF112" t="s">
        <v>74</v>
      </c>
      <c r="AG112">
        <v>24</v>
      </c>
      <c r="AH112">
        <v>20</v>
      </c>
      <c r="AI112">
        <v>26</v>
      </c>
      <c r="AJ112">
        <v>0</v>
      </c>
      <c r="AK112">
        <v>8</v>
      </c>
      <c r="AL112" t="s">
        <v>1757</v>
      </c>
      <c r="AM112" t="s">
        <v>88</v>
      </c>
      <c r="AN112" t="s">
        <v>1758</v>
      </c>
      <c r="AO112" t="s">
        <v>1759</v>
      </c>
      <c r="AP112" t="s">
        <v>1760</v>
      </c>
      <c r="AQ112" t="s">
        <v>74</v>
      </c>
      <c r="AR112" t="s">
        <v>1761</v>
      </c>
      <c r="AS112" t="s">
        <v>1762</v>
      </c>
      <c r="AT112" t="s">
        <v>1763</v>
      </c>
      <c r="AU112">
        <v>2006</v>
      </c>
      <c r="AV112">
        <v>33</v>
      </c>
      <c r="AW112">
        <v>14</v>
      </c>
      <c r="AX112" t="s">
        <v>74</v>
      </c>
      <c r="AY112" t="s">
        <v>74</v>
      </c>
      <c r="AZ112" t="s">
        <v>74</v>
      </c>
      <c r="BA112" t="s">
        <v>74</v>
      </c>
      <c r="BB112" t="s">
        <v>74</v>
      </c>
      <c r="BC112" t="s">
        <v>74</v>
      </c>
      <c r="BD112" t="s">
        <v>1764</v>
      </c>
      <c r="BE112" t="s">
        <v>1765</v>
      </c>
      <c r="BF112" t="str">
        <f>HYPERLINK("http://dx.doi.org/10.1029/2006GL026013","http://dx.doi.org/10.1029/2006GL026013")</f>
        <v>http://dx.doi.org/10.1029/2006GL026013</v>
      </c>
      <c r="BG112" t="s">
        <v>74</v>
      </c>
      <c r="BH112" t="s">
        <v>74</v>
      </c>
      <c r="BI112">
        <v>4</v>
      </c>
      <c r="BJ112" t="s">
        <v>527</v>
      </c>
      <c r="BK112" t="s">
        <v>97</v>
      </c>
      <c r="BL112" t="s">
        <v>528</v>
      </c>
      <c r="BM112" t="s">
        <v>1766</v>
      </c>
      <c r="BN112" t="s">
        <v>74</v>
      </c>
      <c r="BO112" t="s">
        <v>1767</v>
      </c>
      <c r="BP112" t="s">
        <v>74</v>
      </c>
      <c r="BQ112" t="s">
        <v>74</v>
      </c>
      <c r="BR112" t="s">
        <v>100</v>
      </c>
      <c r="BS112" t="s">
        <v>1768</v>
      </c>
      <c r="BT112" t="str">
        <f>HYPERLINK("https%3A%2F%2Fwww.webofscience.com%2Fwos%2Fwoscc%2Ffull-record%2FWOS:000239489400001","View Full Record in Web of Science")</f>
        <v>View Full Record in Web of Science</v>
      </c>
    </row>
    <row r="113" spans="1:72" x14ac:dyDescent="0.15">
      <c r="A113" t="s">
        <v>72</v>
      </c>
      <c r="B113" t="s">
        <v>1769</v>
      </c>
      <c r="C113" t="s">
        <v>74</v>
      </c>
      <c r="D113" t="s">
        <v>74</v>
      </c>
      <c r="E113" t="s">
        <v>74</v>
      </c>
      <c r="F113" t="s">
        <v>1770</v>
      </c>
      <c r="G113" t="s">
        <v>74</v>
      </c>
      <c r="H113" t="s">
        <v>74</v>
      </c>
      <c r="I113" t="s">
        <v>1771</v>
      </c>
      <c r="J113" t="s">
        <v>1772</v>
      </c>
      <c r="K113" t="s">
        <v>74</v>
      </c>
      <c r="L113" t="s">
        <v>74</v>
      </c>
      <c r="M113" t="s">
        <v>78</v>
      </c>
      <c r="N113" t="s">
        <v>79</v>
      </c>
      <c r="O113" t="s">
        <v>74</v>
      </c>
      <c r="P113" t="s">
        <v>74</v>
      </c>
      <c r="Q113" t="s">
        <v>74</v>
      </c>
      <c r="R113" t="s">
        <v>74</v>
      </c>
      <c r="S113" t="s">
        <v>74</v>
      </c>
      <c r="T113" t="s">
        <v>74</v>
      </c>
      <c r="U113" t="s">
        <v>1773</v>
      </c>
      <c r="V113" t="s">
        <v>1774</v>
      </c>
      <c r="W113" t="s">
        <v>1775</v>
      </c>
      <c r="X113" t="s">
        <v>1776</v>
      </c>
      <c r="Y113" t="s">
        <v>1777</v>
      </c>
      <c r="Z113" t="s">
        <v>1778</v>
      </c>
      <c r="AA113" t="s">
        <v>74</v>
      </c>
      <c r="AB113" t="s">
        <v>74</v>
      </c>
      <c r="AC113" t="s">
        <v>74</v>
      </c>
      <c r="AD113" t="s">
        <v>74</v>
      </c>
      <c r="AE113" t="s">
        <v>74</v>
      </c>
      <c r="AF113" t="s">
        <v>74</v>
      </c>
      <c r="AG113">
        <v>60</v>
      </c>
      <c r="AH113">
        <v>37</v>
      </c>
      <c r="AI113">
        <v>41</v>
      </c>
      <c r="AJ113">
        <v>0</v>
      </c>
      <c r="AK113">
        <v>5</v>
      </c>
      <c r="AL113" t="s">
        <v>1757</v>
      </c>
      <c r="AM113" t="s">
        <v>88</v>
      </c>
      <c r="AN113" t="s">
        <v>1758</v>
      </c>
      <c r="AO113" t="s">
        <v>1779</v>
      </c>
      <c r="AP113" t="s">
        <v>1780</v>
      </c>
      <c r="AQ113" t="s">
        <v>74</v>
      </c>
      <c r="AR113" t="s">
        <v>1781</v>
      </c>
      <c r="AS113" t="s">
        <v>1782</v>
      </c>
      <c r="AT113" t="s">
        <v>1763</v>
      </c>
      <c r="AU113">
        <v>2006</v>
      </c>
      <c r="AV113">
        <v>111</v>
      </c>
      <c r="AW113" t="s">
        <v>1783</v>
      </c>
      <c r="AX113" t="s">
        <v>74</v>
      </c>
      <c r="AY113" t="s">
        <v>74</v>
      </c>
      <c r="AZ113" t="s">
        <v>74</v>
      </c>
      <c r="BA113" t="s">
        <v>74</v>
      </c>
      <c r="BB113" t="s">
        <v>74</v>
      </c>
      <c r="BC113" t="s">
        <v>74</v>
      </c>
      <c r="BD113" t="s">
        <v>1784</v>
      </c>
      <c r="BE113" t="s">
        <v>1785</v>
      </c>
      <c r="BF113" t="str">
        <f>HYPERLINK("http://dx.doi.org/10.1029/2004JD005341","http://dx.doi.org/10.1029/2004JD005341")</f>
        <v>http://dx.doi.org/10.1029/2004JD005341</v>
      </c>
      <c r="BG113" t="s">
        <v>74</v>
      </c>
      <c r="BH113" t="s">
        <v>74</v>
      </c>
      <c r="BI113">
        <v>27</v>
      </c>
      <c r="BJ113" t="s">
        <v>869</v>
      </c>
      <c r="BK113" t="s">
        <v>97</v>
      </c>
      <c r="BL113" t="s">
        <v>869</v>
      </c>
      <c r="BM113" t="s">
        <v>1786</v>
      </c>
      <c r="BN113" t="s">
        <v>74</v>
      </c>
      <c r="BO113" t="s">
        <v>1767</v>
      </c>
      <c r="BP113" t="s">
        <v>74</v>
      </c>
      <c r="BQ113" t="s">
        <v>74</v>
      </c>
      <c r="BR113" t="s">
        <v>100</v>
      </c>
      <c r="BS113" t="s">
        <v>1787</v>
      </c>
      <c r="BT113" t="str">
        <f>HYPERLINK("https%3A%2F%2Fwww.webofscience.com%2Fwos%2Fwoscc%2Ffull-record%2FWOS:000239490200001","View Full Record in Web of Science")</f>
        <v>View Full Record in Web of Science</v>
      </c>
    </row>
    <row r="114" spans="1:72" x14ac:dyDescent="0.15">
      <c r="A114" t="s">
        <v>72</v>
      </c>
      <c r="B114" t="s">
        <v>1788</v>
      </c>
      <c r="C114" t="s">
        <v>74</v>
      </c>
      <c r="D114" t="s">
        <v>74</v>
      </c>
      <c r="E114" t="s">
        <v>74</v>
      </c>
      <c r="F114" t="s">
        <v>1789</v>
      </c>
      <c r="G114" t="s">
        <v>74</v>
      </c>
      <c r="H114" t="s">
        <v>74</v>
      </c>
      <c r="I114" t="s">
        <v>1790</v>
      </c>
      <c r="J114" t="s">
        <v>1791</v>
      </c>
      <c r="K114" t="s">
        <v>74</v>
      </c>
      <c r="L114" t="s">
        <v>74</v>
      </c>
      <c r="M114" t="s">
        <v>78</v>
      </c>
      <c r="N114" t="s">
        <v>79</v>
      </c>
      <c r="O114" t="s">
        <v>74</v>
      </c>
      <c r="P114" t="s">
        <v>74</v>
      </c>
      <c r="Q114" t="s">
        <v>74</v>
      </c>
      <c r="R114" t="s">
        <v>74</v>
      </c>
      <c r="S114" t="s">
        <v>74</v>
      </c>
      <c r="T114" t="s">
        <v>1792</v>
      </c>
      <c r="U114" t="s">
        <v>1793</v>
      </c>
      <c r="V114" t="s">
        <v>1794</v>
      </c>
      <c r="W114" t="s">
        <v>1795</v>
      </c>
      <c r="X114" t="s">
        <v>1796</v>
      </c>
      <c r="Y114" t="s">
        <v>1797</v>
      </c>
      <c r="Z114" t="s">
        <v>1798</v>
      </c>
      <c r="AA114" t="s">
        <v>1799</v>
      </c>
      <c r="AB114" t="s">
        <v>1800</v>
      </c>
      <c r="AC114" t="s">
        <v>74</v>
      </c>
      <c r="AD114" t="s">
        <v>74</v>
      </c>
      <c r="AE114" t="s">
        <v>74</v>
      </c>
      <c r="AF114" t="s">
        <v>74</v>
      </c>
      <c r="AG114">
        <v>41</v>
      </c>
      <c r="AH114">
        <v>3</v>
      </c>
      <c r="AI114">
        <v>3</v>
      </c>
      <c r="AJ114">
        <v>0</v>
      </c>
      <c r="AK114">
        <v>12</v>
      </c>
      <c r="AL114" t="s">
        <v>1757</v>
      </c>
      <c r="AM114" t="s">
        <v>88</v>
      </c>
      <c r="AN114" t="s">
        <v>1758</v>
      </c>
      <c r="AO114" t="s">
        <v>1801</v>
      </c>
      <c r="AP114" t="s">
        <v>74</v>
      </c>
      <c r="AQ114" t="s">
        <v>74</v>
      </c>
      <c r="AR114" t="s">
        <v>1802</v>
      </c>
      <c r="AS114" t="s">
        <v>1803</v>
      </c>
      <c r="AT114" t="s">
        <v>1804</v>
      </c>
      <c r="AU114">
        <v>2006</v>
      </c>
      <c r="AV114">
        <v>7</v>
      </c>
      <c r="AW114" t="s">
        <v>74</v>
      </c>
      <c r="AX114" t="s">
        <v>74</v>
      </c>
      <c r="AY114" t="s">
        <v>74</v>
      </c>
      <c r="AZ114" t="s">
        <v>74</v>
      </c>
      <c r="BA114" t="s">
        <v>74</v>
      </c>
      <c r="BB114" t="s">
        <v>74</v>
      </c>
      <c r="BC114" t="s">
        <v>74</v>
      </c>
      <c r="BD114" t="s">
        <v>1805</v>
      </c>
      <c r="BE114" t="s">
        <v>1806</v>
      </c>
      <c r="BF114" t="str">
        <f>HYPERLINK("http://dx.doi.org/10.1029/2005GC001234","http://dx.doi.org/10.1029/2005GC001234")</f>
        <v>http://dx.doi.org/10.1029/2005GC001234</v>
      </c>
      <c r="BG114" t="s">
        <v>74</v>
      </c>
      <c r="BH114" t="s">
        <v>74</v>
      </c>
      <c r="BI114">
        <v>9</v>
      </c>
      <c r="BJ114" t="s">
        <v>608</v>
      </c>
      <c r="BK114" t="s">
        <v>97</v>
      </c>
      <c r="BL114" t="s">
        <v>608</v>
      </c>
      <c r="BM114" t="s">
        <v>1807</v>
      </c>
      <c r="BN114" t="s">
        <v>74</v>
      </c>
      <c r="BO114" t="s">
        <v>1808</v>
      </c>
      <c r="BP114" t="s">
        <v>74</v>
      </c>
      <c r="BQ114" t="s">
        <v>74</v>
      </c>
      <c r="BR114" t="s">
        <v>100</v>
      </c>
      <c r="BS114" t="s">
        <v>1809</v>
      </c>
      <c r="BT114" t="str">
        <f>HYPERLINK("https%3A%2F%2Fwww.webofscience.com%2Fwos%2Fwoscc%2Ffull-record%2FWOS:000239488800001","View Full Record in Web of Science")</f>
        <v>View Full Record in Web of Science</v>
      </c>
    </row>
    <row r="115" spans="1:72" x14ac:dyDescent="0.15">
      <c r="A115" t="s">
        <v>72</v>
      </c>
      <c r="B115" t="s">
        <v>1810</v>
      </c>
      <c r="C115" t="s">
        <v>74</v>
      </c>
      <c r="D115" t="s">
        <v>74</v>
      </c>
      <c r="E115" t="s">
        <v>74</v>
      </c>
      <c r="F115" t="s">
        <v>1811</v>
      </c>
      <c r="G115" t="s">
        <v>74</v>
      </c>
      <c r="H115" t="s">
        <v>74</v>
      </c>
      <c r="I115" t="s">
        <v>1812</v>
      </c>
      <c r="J115" t="s">
        <v>1748</v>
      </c>
      <c r="K115" t="s">
        <v>74</v>
      </c>
      <c r="L115" t="s">
        <v>74</v>
      </c>
      <c r="M115" t="s">
        <v>78</v>
      </c>
      <c r="N115" t="s">
        <v>79</v>
      </c>
      <c r="O115" t="s">
        <v>74</v>
      </c>
      <c r="P115" t="s">
        <v>74</v>
      </c>
      <c r="Q115" t="s">
        <v>74</v>
      </c>
      <c r="R115" t="s">
        <v>74</v>
      </c>
      <c r="S115" t="s">
        <v>74</v>
      </c>
      <c r="T115" t="s">
        <v>74</v>
      </c>
      <c r="U115" t="s">
        <v>1813</v>
      </c>
      <c r="V115" t="s">
        <v>1814</v>
      </c>
      <c r="W115" t="s">
        <v>1815</v>
      </c>
      <c r="X115" t="s">
        <v>1816</v>
      </c>
      <c r="Y115" t="s">
        <v>1817</v>
      </c>
      <c r="Z115" t="s">
        <v>1818</v>
      </c>
      <c r="AA115" t="s">
        <v>1819</v>
      </c>
      <c r="AB115" t="s">
        <v>1820</v>
      </c>
      <c r="AC115" t="s">
        <v>74</v>
      </c>
      <c r="AD115" t="s">
        <v>74</v>
      </c>
      <c r="AE115" t="s">
        <v>74</v>
      </c>
      <c r="AF115" t="s">
        <v>74</v>
      </c>
      <c r="AG115">
        <v>24</v>
      </c>
      <c r="AH115">
        <v>61</v>
      </c>
      <c r="AI115">
        <v>66</v>
      </c>
      <c r="AJ115">
        <v>0</v>
      </c>
      <c r="AK115">
        <v>8</v>
      </c>
      <c r="AL115" t="s">
        <v>1757</v>
      </c>
      <c r="AM115" t="s">
        <v>88</v>
      </c>
      <c r="AN115" t="s">
        <v>1758</v>
      </c>
      <c r="AO115" t="s">
        <v>1759</v>
      </c>
      <c r="AP115" t="s">
        <v>1760</v>
      </c>
      <c r="AQ115" t="s">
        <v>74</v>
      </c>
      <c r="AR115" t="s">
        <v>1761</v>
      </c>
      <c r="AS115" t="s">
        <v>1762</v>
      </c>
      <c r="AT115" t="s">
        <v>1804</v>
      </c>
      <c r="AU115">
        <v>2006</v>
      </c>
      <c r="AV115">
        <v>33</v>
      </c>
      <c r="AW115">
        <v>14</v>
      </c>
      <c r="AX115" t="s">
        <v>74</v>
      </c>
      <c r="AY115" t="s">
        <v>74</v>
      </c>
      <c r="AZ115" t="s">
        <v>74</v>
      </c>
      <c r="BA115" t="s">
        <v>74</v>
      </c>
      <c r="BB115" t="s">
        <v>74</v>
      </c>
      <c r="BC115" t="s">
        <v>74</v>
      </c>
      <c r="BD115" t="s">
        <v>1821</v>
      </c>
      <c r="BE115" t="s">
        <v>1822</v>
      </c>
      <c r="BF115" t="str">
        <f>HYPERLINK("http://dx.doi.org/10.1029/2006GL026769","http://dx.doi.org/10.1029/2006GL026769")</f>
        <v>http://dx.doi.org/10.1029/2006GL026769</v>
      </c>
      <c r="BG115" t="s">
        <v>74</v>
      </c>
      <c r="BH115" t="s">
        <v>74</v>
      </c>
      <c r="BI115">
        <v>5</v>
      </c>
      <c r="BJ115" t="s">
        <v>527</v>
      </c>
      <c r="BK115" t="s">
        <v>97</v>
      </c>
      <c r="BL115" t="s">
        <v>528</v>
      </c>
      <c r="BM115" t="s">
        <v>1823</v>
      </c>
      <c r="BN115" t="s">
        <v>74</v>
      </c>
      <c r="BO115" t="s">
        <v>99</v>
      </c>
      <c r="BP115" t="s">
        <v>74</v>
      </c>
      <c r="BQ115" t="s">
        <v>74</v>
      </c>
      <c r="BR115" t="s">
        <v>100</v>
      </c>
      <c r="BS115" t="s">
        <v>1824</v>
      </c>
      <c r="BT115" t="str">
        <f>HYPERLINK("https%3A%2F%2Fwww.webofscience.com%2Fwos%2Fwoscc%2Ffull-record%2FWOS:000239489300007","View Full Record in Web of Science")</f>
        <v>View Full Record in Web of Science</v>
      </c>
    </row>
    <row r="116" spans="1:72" x14ac:dyDescent="0.15">
      <c r="A116" t="s">
        <v>72</v>
      </c>
      <c r="B116" t="s">
        <v>1825</v>
      </c>
      <c r="C116" t="s">
        <v>74</v>
      </c>
      <c r="D116" t="s">
        <v>74</v>
      </c>
      <c r="E116" t="s">
        <v>74</v>
      </c>
      <c r="F116" t="s">
        <v>1826</v>
      </c>
      <c r="G116" t="s">
        <v>74</v>
      </c>
      <c r="H116" t="s">
        <v>74</v>
      </c>
      <c r="I116" t="s">
        <v>1827</v>
      </c>
      <c r="J116" t="s">
        <v>1828</v>
      </c>
      <c r="K116" t="s">
        <v>74</v>
      </c>
      <c r="L116" t="s">
        <v>74</v>
      </c>
      <c r="M116" t="s">
        <v>78</v>
      </c>
      <c r="N116" t="s">
        <v>79</v>
      </c>
      <c r="O116" t="s">
        <v>74</v>
      </c>
      <c r="P116" t="s">
        <v>74</v>
      </c>
      <c r="Q116" t="s">
        <v>74</v>
      </c>
      <c r="R116" t="s">
        <v>74</v>
      </c>
      <c r="S116" t="s">
        <v>74</v>
      </c>
      <c r="T116" t="s">
        <v>74</v>
      </c>
      <c r="U116" t="s">
        <v>1829</v>
      </c>
      <c r="V116" t="s">
        <v>74</v>
      </c>
      <c r="W116" t="s">
        <v>1830</v>
      </c>
      <c r="X116" t="s">
        <v>1831</v>
      </c>
      <c r="Y116" t="s">
        <v>1832</v>
      </c>
      <c r="Z116" t="s">
        <v>1833</v>
      </c>
      <c r="AA116" t="s">
        <v>1834</v>
      </c>
      <c r="AB116" t="s">
        <v>1835</v>
      </c>
      <c r="AC116" t="s">
        <v>74</v>
      </c>
      <c r="AD116" t="s">
        <v>74</v>
      </c>
      <c r="AE116" t="s">
        <v>74</v>
      </c>
      <c r="AF116" t="s">
        <v>74</v>
      </c>
      <c r="AG116">
        <v>7</v>
      </c>
      <c r="AH116">
        <v>40</v>
      </c>
      <c r="AI116">
        <v>47</v>
      </c>
      <c r="AJ116">
        <v>0</v>
      </c>
      <c r="AK116">
        <v>15</v>
      </c>
      <c r="AL116" t="s">
        <v>1836</v>
      </c>
      <c r="AM116" t="s">
        <v>88</v>
      </c>
      <c r="AN116" t="s">
        <v>1837</v>
      </c>
      <c r="AO116" t="s">
        <v>1838</v>
      </c>
      <c r="AP116" t="s">
        <v>74</v>
      </c>
      <c r="AQ116" t="s">
        <v>74</v>
      </c>
      <c r="AR116" t="s">
        <v>1828</v>
      </c>
      <c r="AS116" t="s">
        <v>1839</v>
      </c>
      <c r="AT116" t="s">
        <v>1804</v>
      </c>
      <c r="AU116">
        <v>2006</v>
      </c>
      <c r="AV116">
        <v>313</v>
      </c>
      <c r="AW116">
        <v>5786</v>
      </c>
      <c r="AX116" t="s">
        <v>74</v>
      </c>
      <c r="AY116" t="s">
        <v>74</v>
      </c>
      <c r="AZ116" t="s">
        <v>74</v>
      </c>
      <c r="BA116" t="s">
        <v>74</v>
      </c>
      <c r="BB116">
        <v>491</v>
      </c>
      <c r="BC116">
        <v>491</v>
      </c>
      <c r="BD116" t="s">
        <v>74</v>
      </c>
      <c r="BE116" t="s">
        <v>1840</v>
      </c>
      <c r="BF116" t="str">
        <f>HYPERLINK("http://dx.doi.org/10.1126/science.1127469","http://dx.doi.org/10.1126/science.1127469")</f>
        <v>http://dx.doi.org/10.1126/science.1127469</v>
      </c>
      <c r="BG116" t="s">
        <v>74</v>
      </c>
      <c r="BH116" t="s">
        <v>74</v>
      </c>
      <c r="BI116">
        <v>1</v>
      </c>
      <c r="BJ116" t="s">
        <v>1841</v>
      </c>
      <c r="BK116" t="s">
        <v>97</v>
      </c>
      <c r="BL116" t="s">
        <v>1842</v>
      </c>
      <c r="BM116" t="s">
        <v>1843</v>
      </c>
      <c r="BN116">
        <v>16873659</v>
      </c>
      <c r="BO116" t="s">
        <v>147</v>
      </c>
      <c r="BP116" t="s">
        <v>74</v>
      </c>
      <c r="BQ116" t="s">
        <v>74</v>
      </c>
      <c r="BR116" t="s">
        <v>100</v>
      </c>
      <c r="BS116" t="s">
        <v>1844</v>
      </c>
      <c r="BT116" t="str">
        <f>HYPERLINK("https%3A%2F%2Fwww.webofscience.com%2Fwos%2Fwoscc%2Ffull-record%2FWOS:000239308600052","View Full Record in Web of Science")</f>
        <v>View Full Record in Web of Science</v>
      </c>
    </row>
    <row r="117" spans="1:72" x14ac:dyDescent="0.15">
      <c r="A117" t="s">
        <v>72</v>
      </c>
      <c r="B117" t="s">
        <v>1845</v>
      </c>
      <c r="C117" t="s">
        <v>74</v>
      </c>
      <c r="D117" t="s">
        <v>74</v>
      </c>
      <c r="E117" t="s">
        <v>74</v>
      </c>
      <c r="F117" t="s">
        <v>1846</v>
      </c>
      <c r="G117" t="s">
        <v>74</v>
      </c>
      <c r="H117" t="s">
        <v>74</v>
      </c>
      <c r="I117" t="s">
        <v>1847</v>
      </c>
      <c r="J117" t="s">
        <v>1828</v>
      </c>
      <c r="K117" t="s">
        <v>74</v>
      </c>
      <c r="L117" t="s">
        <v>74</v>
      </c>
      <c r="M117" t="s">
        <v>78</v>
      </c>
      <c r="N117" t="s">
        <v>79</v>
      </c>
      <c r="O117" t="s">
        <v>74</v>
      </c>
      <c r="P117" t="s">
        <v>74</v>
      </c>
      <c r="Q117" t="s">
        <v>74</v>
      </c>
      <c r="R117" t="s">
        <v>74</v>
      </c>
      <c r="S117" t="s">
        <v>74</v>
      </c>
      <c r="T117" t="s">
        <v>74</v>
      </c>
      <c r="U117" t="s">
        <v>1848</v>
      </c>
      <c r="V117" t="s">
        <v>1849</v>
      </c>
      <c r="W117" t="s">
        <v>1850</v>
      </c>
      <c r="X117" t="s">
        <v>1851</v>
      </c>
      <c r="Y117" t="s">
        <v>1852</v>
      </c>
      <c r="Z117" t="s">
        <v>1853</v>
      </c>
      <c r="AA117" t="s">
        <v>1854</v>
      </c>
      <c r="AB117" t="s">
        <v>1855</v>
      </c>
      <c r="AC117" t="s">
        <v>74</v>
      </c>
      <c r="AD117" t="s">
        <v>74</v>
      </c>
      <c r="AE117" t="s">
        <v>74</v>
      </c>
      <c r="AF117" t="s">
        <v>74</v>
      </c>
      <c r="AG117">
        <v>53</v>
      </c>
      <c r="AH117">
        <v>306</v>
      </c>
      <c r="AI117">
        <v>360</v>
      </c>
      <c r="AJ117">
        <v>5</v>
      </c>
      <c r="AK117">
        <v>153</v>
      </c>
      <c r="AL117" t="s">
        <v>1836</v>
      </c>
      <c r="AM117" t="s">
        <v>88</v>
      </c>
      <c r="AN117" t="s">
        <v>1837</v>
      </c>
      <c r="AO117" t="s">
        <v>1838</v>
      </c>
      <c r="AP117" t="s">
        <v>1856</v>
      </c>
      <c r="AQ117" t="s">
        <v>74</v>
      </c>
      <c r="AR117" t="s">
        <v>1828</v>
      </c>
      <c r="AS117" t="s">
        <v>1839</v>
      </c>
      <c r="AT117" t="s">
        <v>1804</v>
      </c>
      <c r="AU117">
        <v>2006</v>
      </c>
      <c r="AV117">
        <v>313</v>
      </c>
      <c r="AW117">
        <v>5786</v>
      </c>
      <c r="AX117" t="s">
        <v>74</v>
      </c>
      <c r="AY117" t="s">
        <v>74</v>
      </c>
      <c r="AZ117" t="s">
        <v>74</v>
      </c>
      <c r="BA117" t="s">
        <v>74</v>
      </c>
      <c r="BB117">
        <v>492</v>
      </c>
      <c r="BC117">
        <v>495</v>
      </c>
      <c r="BD117" t="s">
        <v>74</v>
      </c>
      <c r="BE117" t="s">
        <v>1857</v>
      </c>
      <c r="BF117" t="str">
        <f>HYPERLINK("http://dx.doi.org/10.1126/science.1123296","http://dx.doi.org/10.1126/science.1123296")</f>
        <v>http://dx.doi.org/10.1126/science.1123296</v>
      </c>
      <c r="BG117" t="s">
        <v>74</v>
      </c>
      <c r="BH117" t="s">
        <v>74</v>
      </c>
      <c r="BI117">
        <v>4</v>
      </c>
      <c r="BJ117" t="s">
        <v>1841</v>
      </c>
      <c r="BK117" t="s">
        <v>97</v>
      </c>
      <c r="BL117" t="s">
        <v>1842</v>
      </c>
      <c r="BM117" t="s">
        <v>1843</v>
      </c>
      <c r="BN117">
        <v>16794038</v>
      </c>
      <c r="BO117" t="s">
        <v>460</v>
      </c>
      <c r="BP117" t="s">
        <v>74</v>
      </c>
      <c r="BQ117" t="s">
        <v>74</v>
      </c>
      <c r="BR117" t="s">
        <v>100</v>
      </c>
      <c r="BS117" t="s">
        <v>1858</v>
      </c>
      <c r="BT117" t="str">
        <f>HYPERLINK("https%3A%2F%2Fwww.webofscience.com%2Fwos%2Fwoscc%2Ffull-record%2FWOS:000239308600053","View Full Record in Web of Science")</f>
        <v>View Full Record in Web of Science</v>
      </c>
    </row>
    <row r="118" spans="1:72" x14ac:dyDescent="0.15">
      <c r="A118" t="s">
        <v>72</v>
      </c>
      <c r="B118" t="s">
        <v>1859</v>
      </c>
      <c r="C118" t="s">
        <v>74</v>
      </c>
      <c r="D118" t="s">
        <v>74</v>
      </c>
      <c r="E118" t="s">
        <v>74</v>
      </c>
      <c r="F118" t="s">
        <v>1860</v>
      </c>
      <c r="G118" t="s">
        <v>74</v>
      </c>
      <c r="H118" t="s">
        <v>74</v>
      </c>
      <c r="I118" t="s">
        <v>1861</v>
      </c>
      <c r="J118" t="s">
        <v>1862</v>
      </c>
      <c r="K118" t="s">
        <v>74</v>
      </c>
      <c r="L118" t="s">
        <v>74</v>
      </c>
      <c r="M118" t="s">
        <v>78</v>
      </c>
      <c r="N118" t="s">
        <v>79</v>
      </c>
      <c r="O118" t="s">
        <v>74</v>
      </c>
      <c r="P118" t="s">
        <v>74</v>
      </c>
      <c r="Q118" t="s">
        <v>74</v>
      </c>
      <c r="R118" t="s">
        <v>74</v>
      </c>
      <c r="S118" t="s">
        <v>74</v>
      </c>
      <c r="T118" t="s">
        <v>74</v>
      </c>
      <c r="U118" t="s">
        <v>1863</v>
      </c>
      <c r="V118" t="s">
        <v>1864</v>
      </c>
      <c r="W118" t="s">
        <v>1865</v>
      </c>
      <c r="X118" t="s">
        <v>1866</v>
      </c>
      <c r="Y118" t="s">
        <v>1867</v>
      </c>
      <c r="Z118" t="s">
        <v>1868</v>
      </c>
      <c r="AA118" t="s">
        <v>1869</v>
      </c>
      <c r="AB118" t="s">
        <v>1870</v>
      </c>
      <c r="AC118" t="s">
        <v>74</v>
      </c>
      <c r="AD118" t="s">
        <v>74</v>
      </c>
      <c r="AE118" t="s">
        <v>74</v>
      </c>
      <c r="AF118" t="s">
        <v>74</v>
      </c>
      <c r="AG118">
        <v>33</v>
      </c>
      <c r="AH118">
        <v>3</v>
      </c>
      <c r="AI118">
        <v>3</v>
      </c>
      <c r="AJ118">
        <v>0</v>
      </c>
      <c r="AK118">
        <v>3</v>
      </c>
      <c r="AL118" t="s">
        <v>1757</v>
      </c>
      <c r="AM118" t="s">
        <v>88</v>
      </c>
      <c r="AN118" t="s">
        <v>1758</v>
      </c>
      <c r="AO118" t="s">
        <v>1871</v>
      </c>
      <c r="AP118" t="s">
        <v>1872</v>
      </c>
      <c r="AQ118" t="s">
        <v>74</v>
      </c>
      <c r="AR118" t="s">
        <v>1873</v>
      </c>
      <c r="AS118" t="s">
        <v>1874</v>
      </c>
      <c r="AT118" t="s">
        <v>1875</v>
      </c>
      <c r="AU118">
        <v>2006</v>
      </c>
      <c r="AV118">
        <v>111</v>
      </c>
      <c r="AW118" t="s">
        <v>1876</v>
      </c>
      <c r="AX118" t="s">
        <v>74</v>
      </c>
      <c r="AY118" t="s">
        <v>74</v>
      </c>
      <c r="AZ118" t="s">
        <v>74</v>
      </c>
      <c r="BA118" t="s">
        <v>74</v>
      </c>
      <c r="BB118" t="s">
        <v>74</v>
      </c>
      <c r="BC118" t="s">
        <v>74</v>
      </c>
      <c r="BD118" t="s">
        <v>1877</v>
      </c>
      <c r="BE118" t="s">
        <v>1878</v>
      </c>
      <c r="BF118" t="str">
        <f>HYPERLINK("http://dx.doi.org/10.1029/2005JA011192","http://dx.doi.org/10.1029/2005JA011192")</f>
        <v>http://dx.doi.org/10.1029/2005JA011192</v>
      </c>
      <c r="BG118" t="s">
        <v>74</v>
      </c>
      <c r="BH118" t="s">
        <v>74</v>
      </c>
      <c r="BI118">
        <v>12</v>
      </c>
      <c r="BJ118" t="s">
        <v>1637</v>
      </c>
      <c r="BK118" t="s">
        <v>97</v>
      </c>
      <c r="BL118" t="s">
        <v>1637</v>
      </c>
      <c r="BM118" t="s">
        <v>1879</v>
      </c>
      <c r="BN118" t="s">
        <v>74</v>
      </c>
      <c r="BO118" t="s">
        <v>460</v>
      </c>
      <c r="BP118" t="s">
        <v>74</v>
      </c>
      <c r="BQ118" t="s">
        <v>74</v>
      </c>
      <c r="BR118" t="s">
        <v>100</v>
      </c>
      <c r="BS118" t="s">
        <v>1880</v>
      </c>
      <c r="BT118" t="str">
        <f>HYPERLINK("https%3A%2F%2Fwww.webofscience.com%2Fwos%2Fwoscc%2Ffull-record%2FWOS:000239491500001","View Full Record in Web of Science")</f>
        <v>View Full Record in Web of Science</v>
      </c>
    </row>
    <row r="119" spans="1:72" x14ac:dyDescent="0.15">
      <c r="A119" t="s">
        <v>72</v>
      </c>
      <c r="B119" t="s">
        <v>1881</v>
      </c>
      <c r="C119" t="s">
        <v>74</v>
      </c>
      <c r="D119" t="s">
        <v>74</v>
      </c>
      <c r="E119" t="s">
        <v>74</v>
      </c>
      <c r="F119" t="s">
        <v>1882</v>
      </c>
      <c r="G119" t="s">
        <v>74</v>
      </c>
      <c r="H119" t="s">
        <v>74</v>
      </c>
      <c r="I119" t="s">
        <v>1883</v>
      </c>
      <c r="J119" t="s">
        <v>1884</v>
      </c>
      <c r="K119" t="s">
        <v>74</v>
      </c>
      <c r="L119" t="s">
        <v>74</v>
      </c>
      <c r="M119" t="s">
        <v>78</v>
      </c>
      <c r="N119" t="s">
        <v>79</v>
      </c>
      <c r="O119" t="s">
        <v>74</v>
      </c>
      <c r="P119" t="s">
        <v>74</v>
      </c>
      <c r="Q119" t="s">
        <v>74</v>
      </c>
      <c r="R119" t="s">
        <v>74</v>
      </c>
      <c r="S119" t="s">
        <v>74</v>
      </c>
      <c r="T119" t="s">
        <v>74</v>
      </c>
      <c r="U119" t="s">
        <v>1885</v>
      </c>
      <c r="V119" t="s">
        <v>1886</v>
      </c>
      <c r="W119" t="s">
        <v>1887</v>
      </c>
      <c r="X119" t="s">
        <v>1888</v>
      </c>
      <c r="Y119" t="s">
        <v>1889</v>
      </c>
      <c r="Z119" t="s">
        <v>1890</v>
      </c>
      <c r="AA119" t="s">
        <v>1891</v>
      </c>
      <c r="AB119" t="s">
        <v>1892</v>
      </c>
      <c r="AC119" t="s">
        <v>74</v>
      </c>
      <c r="AD119" t="s">
        <v>74</v>
      </c>
      <c r="AE119" t="s">
        <v>74</v>
      </c>
      <c r="AF119" t="s">
        <v>74</v>
      </c>
      <c r="AG119">
        <v>49</v>
      </c>
      <c r="AH119">
        <v>6</v>
      </c>
      <c r="AI119">
        <v>7</v>
      </c>
      <c r="AJ119">
        <v>0</v>
      </c>
      <c r="AK119">
        <v>4</v>
      </c>
      <c r="AL119" t="s">
        <v>1893</v>
      </c>
      <c r="AM119" t="s">
        <v>1894</v>
      </c>
      <c r="AN119" t="s">
        <v>1895</v>
      </c>
      <c r="AO119" t="s">
        <v>1896</v>
      </c>
      <c r="AP119" t="s">
        <v>1897</v>
      </c>
      <c r="AQ119" t="s">
        <v>74</v>
      </c>
      <c r="AR119" t="s">
        <v>1898</v>
      </c>
      <c r="AS119" t="s">
        <v>1899</v>
      </c>
      <c r="AT119" t="s">
        <v>1900</v>
      </c>
      <c r="AU119">
        <v>2006</v>
      </c>
      <c r="AV119">
        <v>6</v>
      </c>
      <c r="AW119" t="s">
        <v>74</v>
      </c>
      <c r="AX119" t="s">
        <v>74</v>
      </c>
      <c r="AY119" t="s">
        <v>74</v>
      </c>
      <c r="AZ119" t="s">
        <v>74</v>
      </c>
      <c r="BA119" t="s">
        <v>74</v>
      </c>
      <c r="BB119">
        <v>3099</v>
      </c>
      <c r="BC119">
        <v>3114</v>
      </c>
      <c r="BD119" t="s">
        <v>74</v>
      </c>
      <c r="BE119" t="s">
        <v>1901</v>
      </c>
      <c r="BF119" t="str">
        <f>HYPERLINK("http://dx.doi.org/10.5194/acp-6-3099-2006","http://dx.doi.org/10.5194/acp-6-3099-2006")</f>
        <v>http://dx.doi.org/10.5194/acp-6-3099-2006</v>
      </c>
      <c r="BG119" t="s">
        <v>74</v>
      </c>
      <c r="BH119" t="s">
        <v>74</v>
      </c>
      <c r="BI119">
        <v>16</v>
      </c>
      <c r="BJ119" t="s">
        <v>395</v>
      </c>
      <c r="BK119" t="s">
        <v>97</v>
      </c>
      <c r="BL119" t="s">
        <v>396</v>
      </c>
      <c r="BM119" t="s">
        <v>1902</v>
      </c>
      <c r="BN119" t="s">
        <v>74</v>
      </c>
      <c r="BO119" t="s">
        <v>1903</v>
      </c>
      <c r="BP119" t="s">
        <v>74</v>
      </c>
      <c r="BQ119" t="s">
        <v>74</v>
      </c>
      <c r="BR119" t="s">
        <v>100</v>
      </c>
      <c r="BS119" t="s">
        <v>1904</v>
      </c>
      <c r="BT119" t="str">
        <f>HYPERLINK("https%3A%2F%2Fwww.webofscience.com%2Fwos%2Fwoscc%2Ffull-record%2FWOS:000239271100001","View Full Record in Web of Science")</f>
        <v>View Full Record in Web of Science</v>
      </c>
    </row>
    <row r="120" spans="1:72" x14ac:dyDescent="0.15">
      <c r="A120" t="s">
        <v>72</v>
      </c>
      <c r="B120" t="s">
        <v>1905</v>
      </c>
      <c r="C120" t="s">
        <v>74</v>
      </c>
      <c r="D120" t="s">
        <v>74</v>
      </c>
      <c r="E120" t="s">
        <v>74</v>
      </c>
      <c r="F120" t="s">
        <v>1906</v>
      </c>
      <c r="G120" t="s">
        <v>74</v>
      </c>
      <c r="H120" t="s">
        <v>74</v>
      </c>
      <c r="I120" t="s">
        <v>1907</v>
      </c>
      <c r="J120" t="s">
        <v>1908</v>
      </c>
      <c r="K120" t="s">
        <v>74</v>
      </c>
      <c r="L120" t="s">
        <v>74</v>
      </c>
      <c r="M120" t="s">
        <v>78</v>
      </c>
      <c r="N120" t="s">
        <v>511</v>
      </c>
      <c r="O120" t="s">
        <v>74</v>
      </c>
      <c r="P120" t="s">
        <v>74</v>
      </c>
      <c r="Q120" t="s">
        <v>74</v>
      </c>
      <c r="R120" t="s">
        <v>74</v>
      </c>
      <c r="S120" t="s">
        <v>74</v>
      </c>
      <c r="T120" t="s">
        <v>74</v>
      </c>
      <c r="U120" t="s">
        <v>1909</v>
      </c>
      <c r="V120" t="s">
        <v>1910</v>
      </c>
      <c r="W120" t="s">
        <v>1911</v>
      </c>
      <c r="X120" t="s">
        <v>1912</v>
      </c>
      <c r="Y120" t="s">
        <v>1913</v>
      </c>
      <c r="Z120" t="s">
        <v>74</v>
      </c>
      <c r="AA120" t="s">
        <v>1914</v>
      </c>
      <c r="AB120" t="s">
        <v>1915</v>
      </c>
      <c r="AC120" t="s">
        <v>74</v>
      </c>
      <c r="AD120" t="s">
        <v>74</v>
      </c>
      <c r="AE120" t="s">
        <v>74</v>
      </c>
      <c r="AF120" t="s">
        <v>74</v>
      </c>
      <c r="AG120">
        <v>108</v>
      </c>
      <c r="AH120">
        <v>89</v>
      </c>
      <c r="AI120">
        <v>103</v>
      </c>
      <c r="AJ120">
        <v>3</v>
      </c>
      <c r="AK120">
        <v>37</v>
      </c>
      <c r="AL120" t="s">
        <v>1139</v>
      </c>
      <c r="AM120" t="s">
        <v>476</v>
      </c>
      <c r="AN120" t="s">
        <v>1140</v>
      </c>
      <c r="AO120" t="s">
        <v>1916</v>
      </c>
      <c r="AP120" t="s">
        <v>1917</v>
      </c>
      <c r="AQ120" t="s">
        <v>74</v>
      </c>
      <c r="AR120" t="s">
        <v>1918</v>
      </c>
      <c r="AS120" t="s">
        <v>1919</v>
      </c>
      <c r="AT120" t="s">
        <v>1900</v>
      </c>
      <c r="AU120">
        <v>2006</v>
      </c>
      <c r="AV120">
        <v>559</v>
      </c>
      <c r="AW120" t="s">
        <v>74</v>
      </c>
      <c r="AX120" t="s">
        <v>74</v>
      </c>
      <c r="AY120" t="s">
        <v>74</v>
      </c>
      <c r="AZ120" t="s">
        <v>74</v>
      </c>
      <c r="BA120" t="s">
        <v>74</v>
      </c>
      <c r="BB120">
        <v>117</v>
      </c>
      <c r="BC120">
        <v>149</v>
      </c>
      <c r="BD120" t="s">
        <v>74</v>
      </c>
      <c r="BE120" t="s">
        <v>1920</v>
      </c>
      <c r="BF120" t="str">
        <f>HYPERLINK("http://dx.doi.org/10.1017/S0022112006000164","http://dx.doi.org/10.1017/S0022112006000164")</f>
        <v>http://dx.doi.org/10.1017/S0022112006000164</v>
      </c>
      <c r="BG120" t="s">
        <v>74</v>
      </c>
      <c r="BH120" t="s">
        <v>74</v>
      </c>
      <c r="BI120">
        <v>33</v>
      </c>
      <c r="BJ120" t="s">
        <v>1921</v>
      </c>
      <c r="BK120" t="s">
        <v>97</v>
      </c>
      <c r="BL120" t="s">
        <v>1922</v>
      </c>
      <c r="BM120" t="s">
        <v>1923</v>
      </c>
      <c r="BN120" t="s">
        <v>74</v>
      </c>
      <c r="BO120" t="s">
        <v>74</v>
      </c>
      <c r="BP120" t="s">
        <v>74</v>
      </c>
      <c r="BQ120" t="s">
        <v>74</v>
      </c>
      <c r="BR120" t="s">
        <v>100</v>
      </c>
      <c r="BS120" t="s">
        <v>1924</v>
      </c>
      <c r="BT120" t="str">
        <f>HYPERLINK("https%3A%2F%2Fwww.webofscience.com%2Fwos%2Fwoscc%2Ffull-record%2FWOS:000239832400006","View Full Record in Web of Science")</f>
        <v>View Full Record in Web of Science</v>
      </c>
    </row>
    <row r="121" spans="1:72" x14ac:dyDescent="0.15">
      <c r="A121" t="s">
        <v>72</v>
      </c>
      <c r="B121" t="s">
        <v>1925</v>
      </c>
      <c r="C121" t="s">
        <v>74</v>
      </c>
      <c r="D121" t="s">
        <v>74</v>
      </c>
      <c r="E121" t="s">
        <v>74</v>
      </c>
      <c r="F121" t="s">
        <v>1926</v>
      </c>
      <c r="G121" t="s">
        <v>74</v>
      </c>
      <c r="H121" t="s">
        <v>74</v>
      </c>
      <c r="I121" t="s">
        <v>1927</v>
      </c>
      <c r="J121" t="s">
        <v>1772</v>
      </c>
      <c r="K121" t="s">
        <v>74</v>
      </c>
      <c r="L121" t="s">
        <v>74</v>
      </c>
      <c r="M121" t="s">
        <v>78</v>
      </c>
      <c r="N121" t="s">
        <v>79</v>
      </c>
      <c r="O121" t="s">
        <v>74</v>
      </c>
      <c r="P121" t="s">
        <v>74</v>
      </c>
      <c r="Q121" t="s">
        <v>74</v>
      </c>
      <c r="R121" t="s">
        <v>74</v>
      </c>
      <c r="S121" t="s">
        <v>74</v>
      </c>
      <c r="T121" t="s">
        <v>74</v>
      </c>
      <c r="U121" t="s">
        <v>1928</v>
      </c>
      <c r="V121" t="s">
        <v>1929</v>
      </c>
      <c r="W121" t="s">
        <v>1930</v>
      </c>
      <c r="X121" t="s">
        <v>1931</v>
      </c>
      <c r="Y121" t="s">
        <v>1932</v>
      </c>
      <c r="Z121" t="s">
        <v>1933</v>
      </c>
      <c r="AA121" t="s">
        <v>1934</v>
      </c>
      <c r="AB121" t="s">
        <v>1935</v>
      </c>
      <c r="AC121" t="s">
        <v>74</v>
      </c>
      <c r="AD121" t="s">
        <v>74</v>
      </c>
      <c r="AE121" t="s">
        <v>74</v>
      </c>
      <c r="AF121" t="s">
        <v>74</v>
      </c>
      <c r="AG121">
        <v>37</v>
      </c>
      <c r="AH121">
        <v>33</v>
      </c>
      <c r="AI121">
        <v>35</v>
      </c>
      <c r="AJ121">
        <v>0</v>
      </c>
      <c r="AK121">
        <v>1</v>
      </c>
      <c r="AL121" t="s">
        <v>1757</v>
      </c>
      <c r="AM121" t="s">
        <v>88</v>
      </c>
      <c r="AN121" t="s">
        <v>1758</v>
      </c>
      <c r="AO121" t="s">
        <v>1779</v>
      </c>
      <c r="AP121" t="s">
        <v>1780</v>
      </c>
      <c r="AQ121" t="s">
        <v>74</v>
      </c>
      <c r="AR121" t="s">
        <v>1781</v>
      </c>
      <c r="AS121" t="s">
        <v>1782</v>
      </c>
      <c r="AT121" t="s">
        <v>1900</v>
      </c>
      <c r="AU121">
        <v>2006</v>
      </c>
      <c r="AV121">
        <v>111</v>
      </c>
      <c r="AW121" t="s">
        <v>1783</v>
      </c>
      <c r="AX121" t="s">
        <v>74</v>
      </c>
      <c r="AY121" t="s">
        <v>74</v>
      </c>
      <c r="AZ121" t="s">
        <v>74</v>
      </c>
      <c r="BA121" t="s">
        <v>74</v>
      </c>
      <c r="BB121" t="s">
        <v>74</v>
      </c>
      <c r="BC121" t="s">
        <v>74</v>
      </c>
      <c r="BD121" t="s">
        <v>1936</v>
      </c>
      <c r="BE121" t="s">
        <v>1937</v>
      </c>
      <c r="BF121" t="str">
        <f>HYPERLINK("http://dx.doi.org/10.1029/2005JD006794","http://dx.doi.org/10.1029/2005JD006794")</f>
        <v>http://dx.doi.org/10.1029/2005JD006794</v>
      </c>
      <c r="BG121" t="s">
        <v>74</v>
      </c>
      <c r="BH121" t="s">
        <v>74</v>
      </c>
      <c r="BI121">
        <v>8</v>
      </c>
      <c r="BJ121" t="s">
        <v>869</v>
      </c>
      <c r="BK121" t="s">
        <v>97</v>
      </c>
      <c r="BL121" t="s">
        <v>869</v>
      </c>
      <c r="BM121" t="s">
        <v>1938</v>
      </c>
      <c r="BN121" t="s">
        <v>74</v>
      </c>
      <c r="BO121" t="s">
        <v>460</v>
      </c>
      <c r="BP121" t="s">
        <v>74</v>
      </c>
      <c r="BQ121" t="s">
        <v>74</v>
      </c>
      <c r="BR121" t="s">
        <v>100</v>
      </c>
      <c r="BS121" t="s">
        <v>1939</v>
      </c>
      <c r="BT121" t="str">
        <f>HYPERLINK("https%3A%2F%2Fwww.webofscience.com%2Fwos%2Fwoscc%2Ffull-record%2FWOS:000239489600001","View Full Record in Web of Science")</f>
        <v>View Full Record in Web of Science</v>
      </c>
    </row>
    <row r="122" spans="1:72" x14ac:dyDescent="0.15">
      <c r="A122" t="s">
        <v>72</v>
      </c>
      <c r="B122" t="s">
        <v>1940</v>
      </c>
      <c r="C122" t="s">
        <v>74</v>
      </c>
      <c r="D122" t="s">
        <v>74</v>
      </c>
      <c r="E122" t="s">
        <v>74</v>
      </c>
      <c r="F122" t="s">
        <v>1941</v>
      </c>
      <c r="G122" t="s">
        <v>74</v>
      </c>
      <c r="H122" t="s">
        <v>74</v>
      </c>
      <c r="I122" t="s">
        <v>1942</v>
      </c>
      <c r="J122" t="s">
        <v>1943</v>
      </c>
      <c r="K122" t="s">
        <v>74</v>
      </c>
      <c r="L122" t="s">
        <v>74</v>
      </c>
      <c r="M122" t="s">
        <v>78</v>
      </c>
      <c r="N122" t="s">
        <v>79</v>
      </c>
      <c r="O122" t="s">
        <v>74</v>
      </c>
      <c r="P122" t="s">
        <v>74</v>
      </c>
      <c r="Q122" t="s">
        <v>74</v>
      </c>
      <c r="R122" t="s">
        <v>74</v>
      </c>
      <c r="S122" t="s">
        <v>74</v>
      </c>
      <c r="T122" t="s">
        <v>74</v>
      </c>
      <c r="U122" t="s">
        <v>1944</v>
      </c>
      <c r="V122" t="s">
        <v>1945</v>
      </c>
      <c r="W122" t="s">
        <v>1946</v>
      </c>
      <c r="X122" t="s">
        <v>349</v>
      </c>
      <c r="Y122" t="s">
        <v>1947</v>
      </c>
      <c r="Z122" t="s">
        <v>1948</v>
      </c>
      <c r="AA122" t="s">
        <v>74</v>
      </c>
      <c r="AB122" t="s">
        <v>1949</v>
      </c>
      <c r="AC122" t="s">
        <v>74</v>
      </c>
      <c r="AD122" t="s">
        <v>74</v>
      </c>
      <c r="AE122" t="s">
        <v>74</v>
      </c>
      <c r="AF122" t="s">
        <v>74</v>
      </c>
      <c r="AG122">
        <v>76</v>
      </c>
      <c r="AH122">
        <v>60</v>
      </c>
      <c r="AI122">
        <v>60</v>
      </c>
      <c r="AJ122">
        <v>1</v>
      </c>
      <c r="AK122">
        <v>22</v>
      </c>
      <c r="AL122" t="s">
        <v>1757</v>
      </c>
      <c r="AM122" t="s">
        <v>88</v>
      </c>
      <c r="AN122" t="s">
        <v>1758</v>
      </c>
      <c r="AO122" t="s">
        <v>1950</v>
      </c>
      <c r="AP122" t="s">
        <v>1951</v>
      </c>
      <c r="AQ122" t="s">
        <v>74</v>
      </c>
      <c r="AR122" t="s">
        <v>1943</v>
      </c>
      <c r="AS122" t="s">
        <v>1952</v>
      </c>
      <c r="AT122" t="s">
        <v>1900</v>
      </c>
      <c r="AU122">
        <v>2006</v>
      </c>
      <c r="AV122">
        <v>21</v>
      </c>
      <c r="AW122">
        <v>3</v>
      </c>
      <c r="AX122" t="s">
        <v>74</v>
      </c>
      <c r="AY122" t="s">
        <v>74</v>
      </c>
      <c r="AZ122" t="s">
        <v>74</v>
      </c>
      <c r="BA122" t="s">
        <v>74</v>
      </c>
      <c r="BB122" t="s">
        <v>74</v>
      </c>
      <c r="BC122" t="s">
        <v>74</v>
      </c>
      <c r="BD122" t="s">
        <v>1953</v>
      </c>
      <c r="BE122" t="s">
        <v>1954</v>
      </c>
      <c r="BF122" t="str">
        <f>HYPERLINK("http://dx.doi.org/10.1029/2005PA001144","http://dx.doi.org/10.1029/2005PA001144")</f>
        <v>http://dx.doi.org/10.1029/2005PA001144</v>
      </c>
      <c r="BG122" t="s">
        <v>74</v>
      </c>
      <c r="BH122" t="s">
        <v>74</v>
      </c>
      <c r="BI122">
        <v>13</v>
      </c>
      <c r="BJ122" t="s">
        <v>1955</v>
      </c>
      <c r="BK122" t="s">
        <v>97</v>
      </c>
      <c r="BL122" t="s">
        <v>1956</v>
      </c>
      <c r="BM122" t="s">
        <v>1957</v>
      </c>
      <c r="BN122" t="s">
        <v>74</v>
      </c>
      <c r="BO122" t="s">
        <v>1808</v>
      </c>
      <c r="BP122" t="s">
        <v>74</v>
      </c>
      <c r="BQ122" t="s">
        <v>74</v>
      </c>
      <c r="BR122" t="s">
        <v>100</v>
      </c>
      <c r="BS122" t="s">
        <v>1958</v>
      </c>
      <c r="BT122" t="str">
        <f>HYPERLINK("https%3A%2F%2Fwww.webofscience.com%2Fwos%2Fwoscc%2Ffull-record%2FWOS:000239491600001","View Full Record in Web of Science")</f>
        <v>View Full Record in Web of Science</v>
      </c>
    </row>
    <row r="123" spans="1:72" x14ac:dyDescent="0.15">
      <c r="A123" t="s">
        <v>72</v>
      </c>
      <c r="B123" t="s">
        <v>1959</v>
      </c>
      <c r="C123" t="s">
        <v>74</v>
      </c>
      <c r="D123" t="s">
        <v>74</v>
      </c>
      <c r="E123" t="s">
        <v>74</v>
      </c>
      <c r="F123" t="s">
        <v>1960</v>
      </c>
      <c r="G123" t="s">
        <v>74</v>
      </c>
      <c r="H123" t="s">
        <v>74</v>
      </c>
      <c r="I123" t="s">
        <v>1961</v>
      </c>
      <c r="J123" t="s">
        <v>1884</v>
      </c>
      <c r="K123" t="s">
        <v>74</v>
      </c>
      <c r="L123" t="s">
        <v>74</v>
      </c>
      <c r="M123" t="s">
        <v>78</v>
      </c>
      <c r="N123" t="s">
        <v>79</v>
      </c>
      <c r="O123" t="s">
        <v>74</v>
      </c>
      <c r="P123" t="s">
        <v>74</v>
      </c>
      <c r="Q123" t="s">
        <v>74</v>
      </c>
      <c r="R123" t="s">
        <v>74</v>
      </c>
      <c r="S123" t="s">
        <v>74</v>
      </c>
      <c r="T123" t="s">
        <v>74</v>
      </c>
      <c r="U123" t="s">
        <v>1962</v>
      </c>
      <c r="V123" t="s">
        <v>1963</v>
      </c>
      <c r="W123" t="s">
        <v>1964</v>
      </c>
      <c r="X123" t="s">
        <v>1965</v>
      </c>
      <c r="Y123" t="s">
        <v>1966</v>
      </c>
      <c r="Z123" t="s">
        <v>1967</v>
      </c>
      <c r="AA123" t="s">
        <v>1968</v>
      </c>
      <c r="AB123" t="s">
        <v>1969</v>
      </c>
      <c r="AC123" t="s">
        <v>74</v>
      </c>
      <c r="AD123" t="s">
        <v>74</v>
      </c>
      <c r="AE123" t="s">
        <v>74</v>
      </c>
      <c r="AF123" t="s">
        <v>74</v>
      </c>
      <c r="AG123">
        <v>42</v>
      </c>
      <c r="AH123">
        <v>28</v>
      </c>
      <c r="AI123">
        <v>31</v>
      </c>
      <c r="AJ123">
        <v>0</v>
      </c>
      <c r="AK123">
        <v>12</v>
      </c>
      <c r="AL123" t="s">
        <v>1970</v>
      </c>
      <c r="AM123" t="s">
        <v>1971</v>
      </c>
      <c r="AN123" t="s">
        <v>1972</v>
      </c>
      <c r="AO123" t="s">
        <v>1896</v>
      </c>
      <c r="AP123" t="s">
        <v>74</v>
      </c>
      <c r="AQ123" t="s">
        <v>74</v>
      </c>
      <c r="AR123" t="s">
        <v>1898</v>
      </c>
      <c r="AS123" t="s">
        <v>1899</v>
      </c>
      <c r="AT123" t="s">
        <v>1973</v>
      </c>
      <c r="AU123">
        <v>2006</v>
      </c>
      <c r="AV123">
        <v>6</v>
      </c>
      <c r="AW123" t="s">
        <v>74</v>
      </c>
      <c r="AX123" t="s">
        <v>74</v>
      </c>
      <c r="AY123" t="s">
        <v>74</v>
      </c>
      <c r="AZ123" t="s">
        <v>74</v>
      </c>
      <c r="BA123" t="s">
        <v>74</v>
      </c>
      <c r="BB123">
        <v>3023</v>
      </c>
      <c r="BC123">
        <v>3033</v>
      </c>
      <c r="BD123" t="s">
        <v>74</v>
      </c>
      <c r="BE123" t="s">
        <v>1974</v>
      </c>
      <c r="BF123" t="str">
        <f>HYPERLINK("http://dx.doi.org/10.5194/acp-6-3023-2006","http://dx.doi.org/10.5194/acp-6-3023-2006")</f>
        <v>http://dx.doi.org/10.5194/acp-6-3023-2006</v>
      </c>
      <c r="BG123" t="s">
        <v>74</v>
      </c>
      <c r="BH123" t="s">
        <v>74</v>
      </c>
      <c r="BI123">
        <v>11</v>
      </c>
      <c r="BJ123" t="s">
        <v>395</v>
      </c>
      <c r="BK123" t="s">
        <v>97</v>
      </c>
      <c r="BL123" t="s">
        <v>396</v>
      </c>
      <c r="BM123" t="s">
        <v>1975</v>
      </c>
      <c r="BN123" t="s">
        <v>74</v>
      </c>
      <c r="BO123" t="s">
        <v>1976</v>
      </c>
      <c r="BP123" t="s">
        <v>74</v>
      </c>
      <c r="BQ123" t="s">
        <v>74</v>
      </c>
      <c r="BR123" t="s">
        <v>100</v>
      </c>
      <c r="BS123" t="s">
        <v>1977</v>
      </c>
      <c r="BT123" t="str">
        <f>HYPERLINK("https%3A%2F%2Fwww.webofscience.com%2Fwos%2Fwoscc%2Ffull-record%2FWOS:000239270700001","View Full Record in Web of Science")</f>
        <v>View Full Record in Web of Science</v>
      </c>
    </row>
    <row r="124" spans="1:72" x14ac:dyDescent="0.15">
      <c r="A124" t="s">
        <v>72</v>
      </c>
      <c r="B124" t="s">
        <v>1978</v>
      </c>
      <c r="C124" t="s">
        <v>74</v>
      </c>
      <c r="D124" t="s">
        <v>74</v>
      </c>
      <c r="E124" t="s">
        <v>74</v>
      </c>
      <c r="F124" t="s">
        <v>1979</v>
      </c>
      <c r="G124" t="s">
        <v>74</v>
      </c>
      <c r="H124" t="s">
        <v>74</v>
      </c>
      <c r="I124" t="s">
        <v>1980</v>
      </c>
      <c r="J124" t="s">
        <v>1981</v>
      </c>
      <c r="K124" t="s">
        <v>74</v>
      </c>
      <c r="L124" t="s">
        <v>74</v>
      </c>
      <c r="M124" t="s">
        <v>78</v>
      </c>
      <c r="N124" t="s">
        <v>1282</v>
      </c>
      <c r="O124" t="s">
        <v>74</v>
      </c>
      <c r="P124" t="s">
        <v>74</v>
      </c>
      <c r="Q124" t="s">
        <v>74</v>
      </c>
      <c r="R124" t="s">
        <v>74</v>
      </c>
      <c r="S124" t="s">
        <v>74</v>
      </c>
      <c r="T124" t="s">
        <v>74</v>
      </c>
      <c r="U124" t="s">
        <v>74</v>
      </c>
      <c r="V124" t="s">
        <v>74</v>
      </c>
      <c r="W124" t="s">
        <v>74</v>
      </c>
      <c r="X124" t="s">
        <v>74</v>
      </c>
      <c r="Y124" t="s">
        <v>74</v>
      </c>
      <c r="Z124" t="s">
        <v>74</v>
      </c>
      <c r="AA124" t="s">
        <v>74</v>
      </c>
      <c r="AB124" t="s">
        <v>74</v>
      </c>
      <c r="AC124" t="s">
        <v>74</v>
      </c>
      <c r="AD124" t="s">
        <v>74</v>
      </c>
      <c r="AE124" t="s">
        <v>74</v>
      </c>
      <c r="AF124" t="s">
        <v>74</v>
      </c>
      <c r="AG124">
        <v>0</v>
      </c>
      <c r="AH124">
        <v>1</v>
      </c>
      <c r="AI124">
        <v>1</v>
      </c>
      <c r="AJ124">
        <v>0</v>
      </c>
      <c r="AK124">
        <v>0</v>
      </c>
      <c r="AL124" t="s">
        <v>1982</v>
      </c>
      <c r="AM124" t="s">
        <v>1983</v>
      </c>
      <c r="AN124" t="s">
        <v>1984</v>
      </c>
      <c r="AO124" t="s">
        <v>1985</v>
      </c>
      <c r="AP124" t="s">
        <v>74</v>
      </c>
      <c r="AQ124" t="s">
        <v>74</v>
      </c>
      <c r="AR124" t="s">
        <v>1986</v>
      </c>
      <c r="AS124" t="s">
        <v>1987</v>
      </c>
      <c r="AT124" t="s">
        <v>1988</v>
      </c>
      <c r="AU124">
        <v>2006</v>
      </c>
      <c r="AV124">
        <v>191</v>
      </c>
      <c r="AW124">
        <v>2561</v>
      </c>
      <c r="AX124" t="s">
        <v>74</v>
      </c>
      <c r="AY124" t="s">
        <v>74</v>
      </c>
      <c r="AZ124" t="s">
        <v>74</v>
      </c>
      <c r="BA124" t="s">
        <v>74</v>
      </c>
      <c r="BB124">
        <v>18</v>
      </c>
      <c r="BC124">
        <v>18</v>
      </c>
      <c r="BD124" t="s">
        <v>74</v>
      </c>
      <c r="BE124" t="s">
        <v>74</v>
      </c>
      <c r="BF124" t="s">
        <v>74</v>
      </c>
      <c r="BG124" t="s">
        <v>74</v>
      </c>
      <c r="BH124" t="s">
        <v>74</v>
      </c>
      <c r="BI124">
        <v>1</v>
      </c>
      <c r="BJ124" t="s">
        <v>1841</v>
      </c>
      <c r="BK124" t="s">
        <v>97</v>
      </c>
      <c r="BL124" t="s">
        <v>1842</v>
      </c>
      <c r="BM124" t="s">
        <v>1989</v>
      </c>
      <c r="BN124" t="s">
        <v>74</v>
      </c>
      <c r="BO124" t="s">
        <v>74</v>
      </c>
      <c r="BP124" t="s">
        <v>74</v>
      </c>
      <c r="BQ124" t="s">
        <v>74</v>
      </c>
      <c r="BR124" t="s">
        <v>100</v>
      </c>
      <c r="BS124" t="s">
        <v>1990</v>
      </c>
      <c r="BT124" t="str">
        <f>HYPERLINK("https%3A%2F%2Fwww.webofscience.com%2Fwos%2Fwoscc%2Ffull-record%2FWOS:000239290200011","View Full Record in Web of Science")</f>
        <v>View Full Record in Web of Science</v>
      </c>
    </row>
    <row r="125" spans="1:72" x14ac:dyDescent="0.15">
      <c r="A125" t="s">
        <v>72</v>
      </c>
      <c r="B125" t="s">
        <v>1991</v>
      </c>
      <c r="C125" t="s">
        <v>74</v>
      </c>
      <c r="D125" t="s">
        <v>74</v>
      </c>
      <c r="E125" t="s">
        <v>74</v>
      </c>
      <c r="F125" t="s">
        <v>1992</v>
      </c>
      <c r="G125" t="s">
        <v>74</v>
      </c>
      <c r="H125" t="s">
        <v>74</v>
      </c>
      <c r="I125" t="s">
        <v>1993</v>
      </c>
      <c r="J125" t="s">
        <v>1748</v>
      </c>
      <c r="K125" t="s">
        <v>74</v>
      </c>
      <c r="L125" t="s">
        <v>74</v>
      </c>
      <c r="M125" t="s">
        <v>78</v>
      </c>
      <c r="N125" t="s">
        <v>79</v>
      </c>
      <c r="O125" t="s">
        <v>74</v>
      </c>
      <c r="P125" t="s">
        <v>74</v>
      </c>
      <c r="Q125" t="s">
        <v>74</v>
      </c>
      <c r="R125" t="s">
        <v>74</v>
      </c>
      <c r="S125" t="s">
        <v>74</v>
      </c>
      <c r="T125" t="s">
        <v>74</v>
      </c>
      <c r="U125" t="s">
        <v>1994</v>
      </c>
      <c r="V125" t="s">
        <v>1995</v>
      </c>
      <c r="W125" t="s">
        <v>1996</v>
      </c>
      <c r="X125" t="s">
        <v>1997</v>
      </c>
      <c r="Y125" t="s">
        <v>1998</v>
      </c>
      <c r="Z125" t="s">
        <v>1999</v>
      </c>
      <c r="AA125" t="s">
        <v>2000</v>
      </c>
      <c r="AB125" t="s">
        <v>2001</v>
      </c>
      <c r="AC125" t="s">
        <v>74</v>
      </c>
      <c r="AD125" t="s">
        <v>74</v>
      </c>
      <c r="AE125" t="s">
        <v>74</v>
      </c>
      <c r="AF125" t="s">
        <v>74</v>
      </c>
      <c r="AG125">
        <v>30</v>
      </c>
      <c r="AH125">
        <v>173</v>
      </c>
      <c r="AI125">
        <v>193</v>
      </c>
      <c r="AJ125">
        <v>3</v>
      </c>
      <c r="AK125">
        <v>110</v>
      </c>
      <c r="AL125" t="s">
        <v>1757</v>
      </c>
      <c r="AM125" t="s">
        <v>88</v>
      </c>
      <c r="AN125" t="s">
        <v>1758</v>
      </c>
      <c r="AO125" t="s">
        <v>1759</v>
      </c>
      <c r="AP125" t="s">
        <v>1760</v>
      </c>
      <c r="AQ125" t="s">
        <v>74</v>
      </c>
      <c r="AR125" t="s">
        <v>1761</v>
      </c>
      <c r="AS125" t="s">
        <v>1762</v>
      </c>
      <c r="AT125" t="s">
        <v>2002</v>
      </c>
      <c r="AU125">
        <v>2006</v>
      </c>
      <c r="AV125">
        <v>33</v>
      </c>
      <c r="AW125">
        <v>14</v>
      </c>
      <c r="AX125" t="s">
        <v>74</v>
      </c>
      <c r="AY125" t="s">
        <v>74</v>
      </c>
      <c r="AZ125" t="s">
        <v>74</v>
      </c>
      <c r="BA125" t="s">
        <v>74</v>
      </c>
      <c r="BB125" t="s">
        <v>74</v>
      </c>
      <c r="BC125" t="s">
        <v>74</v>
      </c>
      <c r="BD125" t="s">
        <v>2003</v>
      </c>
      <c r="BE125" t="s">
        <v>2004</v>
      </c>
      <c r="BF125" t="str">
        <f>HYPERLINK("http://dx.doi.org/10.1029/2006GL026152","http://dx.doi.org/10.1029/2006GL026152")</f>
        <v>http://dx.doi.org/10.1029/2006GL026152</v>
      </c>
      <c r="BG125" t="s">
        <v>74</v>
      </c>
      <c r="BH125" t="s">
        <v>74</v>
      </c>
      <c r="BI125">
        <v>4</v>
      </c>
      <c r="BJ125" t="s">
        <v>527</v>
      </c>
      <c r="BK125" t="s">
        <v>97</v>
      </c>
      <c r="BL125" t="s">
        <v>528</v>
      </c>
      <c r="BM125" t="s">
        <v>2005</v>
      </c>
      <c r="BN125" t="s">
        <v>74</v>
      </c>
      <c r="BO125" t="s">
        <v>74</v>
      </c>
      <c r="BP125" t="s">
        <v>74</v>
      </c>
      <c r="BQ125" t="s">
        <v>74</v>
      </c>
      <c r="BR125" t="s">
        <v>100</v>
      </c>
      <c r="BS125" t="s">
        <v>2006</v>
      </c>
      <c r="BT125" t="str">
        <f>HYPERLINK("https%3A%2F%2Fwww.webofscience.com%2Fwos%2Fwoscc%2Ffull-record%2FWOS:000239577500005","View Full Record in Web of Science")</f>
        <v>View Full Record in Web of Science</v>
      </c>
    </row>
    <row r="126" spans="1:72" x14ac:dyDescent="0.15">
      <c r="A126" t="s">
        <v>72</v>
      </c>
      <c r="B126" t="s">
        <v>2007</v>
      </c>
      <c r="C126" t="s">
        <v>74</v>
      </c>
      <c r="D126" t="s">
        <v>74</v>
      </c>
      <c r="E126" t="s">
        <v>74</v>
      </c>
      <c r="F126" t="s">
        <v>2008</v>
      </c>
      <c r="G126" t="s">
        <v>74</v>
      </c>
      <c r="H126" t="s">
        <v>74</v>
      </c>
      <c r="I126" t="s">
        <v>2009</v>
      </c>
      <c r="J126" t="s">
        <v>2010</v>
      </c>
      <c r="K126" t="s">
        <v>74</v>
      </c>
      <c r="L126" t="s">
        <v>74</v>
      </c>
      <c r="M126" t="s">
        <v>78</v>
      </c>
      <c r="N126" t="s">
        <v>79</v>
      </c>
      <c r="O126" t="s">
        <v>74</v>
      </c>
      <c r="P126" t="s">
        <v>74</v>
      </c>
      <c r="Q126" t="s">
        <v>74</v>
      </c>
      <c r="R126" t="s">
        <v>74</v>
      </c>
      <c r="S126" t="s">
        <v>74</v>
      </c>
      <c r="T126" t="s">
        <v>74</v>
      </c>
      <c r="U126" t="s">
        <v>2011</v>
      </c>
      <c r="V126" t="s">
        <v>2012</v>
      </c>
      <c r="W126" t="s">
        <v>2013</v>
      </c>
      <c r="X126" t="s">
        <v>2014</v>
      </c>
      <c r="Y126" t="s">
        <v>2015</v>
      </c>
      <c r="Z126" t="s">
        <v>2016</v>
      </c>
      <c r="AA126" t="s">
        <v>74</v>
      </c>
      <c r="AB126" t="s">
        <v>74</v>
      </c>
      <c r="AC126" t="s">
        <v>74</v>
      </c>
      <c r="AD126" t="s">
        <v>74</v>
      </c>
      <c r="AE126" t="s">
        <v>74</v>
      </c>
      <c r="AF126" t="s">
        <v>74</v>
      </c>
      <c r="AG126">
        <v>62</v>
      </c>
      <c r="AH126">
        <v>126</v>
      </c>
      <c r="AI126">
        <v>141</v>
      </c>
      <c r="AJ126">
        <v>3</v>
      </c>
      <c r="AK126">
        <v>47</v>
      </c>
      <c r="AL126" t="s">
        <v>2017</v>
      </c>
      <c r="AM126" t="s">
        <v>88</v>
      </c>
      <c r="AN126" t="s">
        <v>2018</v>
      </c>
      <c r="AO126" t="s">
        <v>2019</v>
      </c>
      <c r="AP126" t="s">
        <v>2020</v>
      </c>
      <c r="AQ126" t="s">
        <v>74</v>
      </c>
      <c r="AR126" t="s">
        <v>2021</v>
      </c>
      <c r="AS126" t="s">
        <v>2022</v>
      </c>
      <c r="AT126" t="s">
        <v>2023</v>
      </c>
      <c r="AU126">
        <v>2006</v>
      </c>
      <c r="AV126">
        <v>45</v>
      </c>
      <c r="AW126">
        <v>21</v>
      </c>
      <c r="AX126" t="s">
        <v>74</v>
      </c>
      <c r="AY126" t="s">
        <v>74</v>
      </c>
      <c r="AZ126" t="s">
        <v>74</v>
      </c>
      <c r="BA126" t="s">
        <v>74</v>
      </c>
      <c r="BB126">
        <v>5320</v>
      </c>
      <c r="BC126">
        <v>5334</v>
      </c>
      <c r="BD126" t="s">
        <v>74</v>
      </c>
      <c r="BE126" t="s">
        <v>2024</v>
      </c>
      <c r="BF126" t="str">
        <f>HYPERLINK("http://dx.doi.org/10.1364/AO.45.005320","http://dx.doi.org/10.1364/AO.45.005320")</f>
        <v>http://dx.doi.org/10.1364/AO.45.005320</v>
      </c>
      <c r="BG126" t="s">
        <v>74</v>
      </c>
      <c r="BH126" t="s">
        <v>74</v>
      </c>
      <c r="BI126">
        <v>15</v>
      </c>
      <c r="BJ126" t="s">
        <v>2025</v>
      </c>
      <c r="BK126" t="s">
        <v>97</v>
      </c>
      <c r="BL126" t="s">
        <v>2025</v>
      </c>
      <c r="BM126" t="s">
        <v>2026</v>
      </c>
      <c r="BN126">
        <v>16826269</v>
      </c>
      <c r="BO126" t="s">
        <v>74</v>
      </c>
      <c r="BP126" t="s">
        <v>74</v>
      </c>
      <c r="BQ126" t="s">
        <v>74</v>
      </c>
      <c r="BR126" t="s">
        <v>100</v>
      </c>
      <c r="BS126" t="s">
        <v>2027</v>
      </c>
      <c r="BT126" t="str">
        <f>HYPERLINK("https%3A%2F%2Fwww.webofscience.com%2Fwos%2Fwoscc%2Ffull-record%2FWOS:000239181600026","View Full Record in Web of Science")</f>
        <v>View Full Record in Web of Science</v>
      </c>
    </row>
    <row r="127" spans="1:72" x14ac:dyDescent="0.15">
      <c r="A127" t="s">
        <v>72</v>
      </c>
      <c r="B127" t="s">
        <v>2028</v>
      </c>
      <c r="C127" t="s">
        <v>74</v>
      </c>
      <c r="D127" t="s">
        <v>74</v>
      </c>
      <c r="E127" t="s">
        <v>74</v>
      </c>
      <c r="F127" t="s">
        <v>2029</v>
      </c>
      <c r="G127" t="s">
        <v>74</v>
      </c>
      <c r="H127" t="s">
        <v>74</v>
      </c>
      <c r="I127" t="s">
        <v>2030</v>
      </c>
      <c r="J127" t="s">
        <v>1791</v>
      </c>
      <c r="K127" t="s">
        <v>74</v>
      </c>
      <c r="L127" t="s">
        <v>74</v>
      </c>
      <c r="M127" t="s">
        <v>78</v>
      </c>
      <c r="N127" t="s">
        <v>79</v>
      </c>
      <c r="O127" t="s">
        <v>74</v>
      </c>
      <c r="P127" t="s">
        <v>74</v>
      </c>
      <c r="Q127" t="s">
        <v>74</v>
      </c>
      <c r="R127" t="s">
        <v>74</v>
      </c>
      <c r="S127" t="s">
        <v>74</v>
      </c>
      <c r="T127" t="s">
        <v>2031</v>
      </c>
      <c r="U127" t="s">
        <v>2032</v>
      </c>
      <c r="V127" t="s">
        <v>2033</v>
      </c>
      <c r="W127" t="s">
        <v>2034</v>
      </c>
      <c r="X127" t="s">
        <v>2035</v>
      </c>
      <c r="Y127" t="s">
        <v>2036</v>
      </c>
      <c r="Z127" t="s">
        <v>2037</v>
      </c>
      <c r="AA127" t="s">
        <v>2038</v>
      </c>
      <c r="AB127" t="s">
        <v>2039</v>
      </c>
      <c r="AC127" t="s">
        <v>74</v>
      </c>
      <c r="AD127" t="s">
        <v>74</v>
      </c>
      <c r="AE127" t="s">
        <v>74</v>
      </c>
      <c r="AF127" t="s">
        <v>74</v>
      </c>
      <c r="AG127">
        <v>63</v>
      </c>
      <c r="AH127">
        <v>56</v>
      </c>
      <c r="AI127">
        <v>74</v>
      </c>
      <c r="AJ127">
        <v>0</v>
      </c>
      <c r="AK127">
        <v>12</v>
      </c>
      <c r="AL127" t="s">
        <v>1757</v>
      </c>
      <c r="AM127" t="s">
        <v>88</v>
      </c>
      <c r="AN127" t="s">
        <v>1758</v>
      </c>
      <c r="AO127" t="s">
        <v>74</v>
      </c>
      <c r="AP127" t="s">
        <v>1801</v>
      </c>
      <c r="AQ127" t="s">
        <v>74</v>
      </c>
      <c r="AR127" t="s">
        <v>1802</v>
      </c>
      <c r="AS127" t="s">
        <v>1803</v>
      </c>
      <c r="AT127" t="s">
        <v>2023</v>
      </c>
      <c r="AU127">
        <v>2006</v>
      </c>
      <c r="AV127">
        <v>7</v>
      </c>
      <c r="AW127" t="s">
        <v>74</v>
      </c>
      <c r="AX127" t="s">
        <v>74</v>
      </c>
      <c r="AY127" t="s">
        <v>74</v>
      </c>
      <c r="AZ127" t="s">
        <v>74</v>
      </c>
      <c r="BA127" t="s">
        <v>74</v>
      </c>
      <c r="BB127" t="s">
        <v>74</v>
      </c>
      <c r="BC127" t="s">
        <v>74</v>
      </c>
      <c r="BD127" t="s">
        <v>2040</v>
      </c>
      <c r="BE127" t="s">
        <v>2041</v>
      </c>
      <c r="BF127" t="str">
        <f>HYPERLINK("http://dx.doi.org/10.1029/2005GC001238","http://dx.doi.org/10.1029/2005GC001238")</f>
        <v>http://dx.doi.org/10.1029/2005GC001238</v>
      </c>
      <c r="BG127" t="s">
        <v>74</v>
      </c>
      <c r="BH127" t="s">
        <v>74</v>
      </c>
      <c r="BI127">
        <v>17</v>
      </c>
      <c r="BJ127" t="s">
        <v>608</v>
      </c>
      <c r="BK127" t="s">
        <v>97</v>
      </c>
      <c r="BL127" t="s">
        <v>608</v>
      </c>
      <c r="BM127" t="s">
        <v>2042</v>
      </c>
      <c r="BN127" t="s">
        <v>74</v>
      </c>
      <c r="BO127" t="s">
        <v>74</v>
      </c>
      <c r="BP127" t="s">
        <v>74</v>
      </c>
      <c r="BQ127" t="s">
        <v>74</v>
      </c>
      <c r="BR127" t="s">
        <v>100</v>
      </c>
      <c r="BS127" t="s">
        <v>2043</v>
      </c>
      <c r="BT127" t="str">
        <f>HYPERLINK("https%3A%2F%2Fwww.webofscience.com%2Fwos%2Fwoscc%2Ffull-record%2FWOS:000239576700002","View Full Record in Web of Science")</f>
        <v>View Full Record in Web of Science</v>
      </c>
    </row>
    <row r="128" spans="1:72" x14ac:dyDescent="0.15">
      <c r="A128" t="s">
        <v>72</v>
      </c>
      <c r="B128" t="s">
        <v>2044</v>
      </c>
      <c r="C128" t="s">
        <v>74</v>
      </c>
      <c r="D128" t="s">
        <v>74</v>
      </c>
      <c r="E128" t="s">
        <v>74</v>
      </c>
      <c r="F128" t="s">
        <v>2045</v>
      </c>
      <c r="G128" t="s">
        <v>74</v>
      </c>
      <c r="H128" t="s">
        <v>74</v>
      </c>
      <c r="I128" t="s">
        <v>2046</v>
      </c>
      <c r="J128" t="s">
        <v>1943</v>
      </c>
      <c r="K128" t="s">
        <v>74</v>
      </c>
      <c r="L128" t="s">
        <v>74</v>
      </c>
      <c r="M128" t="s">
        <v>78</v>
      </c>
      <c r="N128" t="s">
        <v>79</v>
      </c>
      <c r="O128" t="s">
        <v>74</v>
      </c>
      <c r="P128" t="s">
        <v>74</v>
      </c>
      <c r="Q128" t="s">
        <v>74</v>
      </c>
      <c r="R128" t="s">
        <v>74</v>
      </c>
      <c r="S128" t="s">
        <v>74</v>
      </c>
      <c r="T128" t="s">
        <v>74</v>
      </c>
      <c r="U128" t="s">
        <v>2047</v>
      </c>
      <c r="V128" t="s">
        <v>2048</v>
      </c>
      <c r="W128" t="s">
        <v>2049</v>
      </c>
      <c r="X128" t="s">
        <v>2050</v>
      </c>
      <c r="Y128" t="s">
        <v>2051</v>
      </c>
      <c r="Z128" t="s">
        <v>2052</v>
      </c>
      <c r="AA128" t="s">
        <v>2053</v>
      </c>
      <c r="AB128" t="s">
        <v>2054</v>
      </c>
      <c r="AC128" t="s">
        <v>74</v>
      </c>
      <c r="AD128" t="s">
        <v>74</v>
      </c>
      <c r="AE128" t="s">
        <v>74</v>
      </c>
      <c r="AF128" t="s">
        <v>74</v>
      </c>
      <c r="AG128">
        <v>71</v>
      </c>
      <c r="AH128">
        <v>120</v>
      </c>
      <c r="AI128">
        <v>125</v>
      </c>
      <c r="AJ128">
        <v>0</v>
      </c>
      <c r="AK128">
        <v>43</v>
      </c>
      <c r="AL128" t="s">
        <v>1757</v>
      </c>
      <c r="AM128" t="s">
        <v>88</v>
      </c>
      <c r="AN128" t="s">
        <v>1758</v>
      </c>
      <c r="AO128" t="s">
        <v>1950</v>
      </c>
      <c r="AP128" t="s">
        <v>1951</v>
      </c>
      <c r="AQ128" t="s">
        <v>74</v>
      </c>
      <c r="AR128" t="s">
        <v>1943</v>
      </c>
      <c r="AS128" t="s">
        <v>1952</v>
      </c>
      <c r="AT128" t="s">
        <v>2023</v>
      </c>
      <c r="AU128">
        <v>2006</v>
      </c>
      <c r="AV128">
        <v>21</v>
      </c>
      <c r="AW128">
        <v>3</v>
      </c>
      <c r="AX128" t="s">
        <v>74</v>
      </c>
      <c r="AY128" t="s">
        <v>74</v>
      </c>
      <c r="AZ128" t="s">
        <v>74</v>
      </c>
      <c r="BA128" t="s">
        <v>74</v>
      </c>
      <c r="BB128" t="s">
        <v>74</v>
      </c>
      <c r="BC128" t="s">
        <v>74</v>
      </c>
      <c r="BD128" t="s">
        <v>2055</v>
      </c>
      <c r="BE128" t="s">
        <v>2056</v>
      </c>
      <c r="BF128" t="str">
        <f>HYPERLINK("http://dx.doi.org/10.1029/2005PA001215","http://dx.doi.org/10.1029/2005PA001215")</f>
        <v>http://dx.doi.org/10.1029/2005PA001215</v>
      </c>
      <c r="BG128" t="s">
        <v>74</v>
      </c>
      <c r="BH128" t="s">
        <v>74</v>
      </c>
      <c r="BI128">
        <v>13</v>
      </c>
      <c r="BJ128" t="s">
        <v>1955</v>
      </c>
      <c r="BK128" t="s">
        <v>97</v>
      </c>
      <c r="BL128" t="s">
        <v>1956</v>
      </c>
      <c r="BM128" t="s">
        <v>2057</v>
      </c>
      <c r="BN128" t="s">
        <v>74</v>
      </c>
      <c r="BO128" t="s">
        <v>1808</v>
      </c>
      <c r="BP128" t="s">
        <v>74</v>
      </c>
      <c r="BQ128" t="s">
        <v>74</v>
      </c>
      <c r="BR128" t="s">
        <v>100</v>
      </c>
      <c r="BS128" t="s">
        <v>2058</v>
      </c>
      <c r="BT128" t="str">
        <f>HYPERLINK("https%3A%2F%2Fwww.webofscience.com%2Fwos%2Fwoscc%2Ffull-record%2FWOS:000239582100001","View Full Record in Web of Science")</f>
        <v>View Full Record in Web of Science</v>
      </c>
    </row>
    <row r="129" spans="1:72" x14ac:dyDescent="0.15">
      <c r="A129" t="s">
        <v>72</v>
      </c>
      <c r="B129" t="s">
        <v>2059</v>
      </c>
      <c r="C129" t="s">
        <v>74</v>
      </c>
      <c r="D129" t="s">
        <v>74</v>
      </c>
      <c r="E129" t="s">
        <v>74</v>
      </c>
      <c r="F129" t="s">
        <v>2060</v>
      </c>
      <c r="G129" t="s">
        <v>74</v>
      </c>
      <c r="H129" t="s">
        <v>74</v>
      </c>
      <c r="I129" t="s">
        <v>2061</v>
      </c>
      <c r="J129" t="s">
        <v>2062</v>
      </c>
      <c r="K129" t="s">
        <v>74</v>
      </c>
      <c r="L129" t="s">
        <v>74</v>
      </c>
      <c r="M129" t="s">
        <v>78</v>
      </c>
      <c r="N129" t="s">
        <v>79</v>
      </c>
      <c r="O129" t="s">
        <v>74</v>
      </c>
      <c r="P129" t="s">
        <v>74</v>
      </c>
      <c r="Q129" t="s">
        <v>74</v>
      </c>
      <c r="R129" t="s">
        <v>74</v>
      </c>
      <c r="S129" t="s">
        <v>74</v>
      </c>
      <c r="T129" t="s">
        <v>2063</v>
      </c>
      <c r="U129" t="s">
        <v>2064</v>
      </c>
      <c r="V129" t="s">
        <v>2065</v>
      </c>
      <c r="W129" t="s">
        <v>2066</v>
      </c>
      <c r="X129" t="s">
        <v>2067</v>
      </c>
      <c r="Y129" t="s">
        <v>2068</v>
      </c>
      <c r="Z129" t="s">
        <v>2069</v>
      </c>
      <c r="AA129" t="s">
        <v>2070</v>
      </c>
      <c r="AB129" t="s">
        <v>2071</v>
      </c>
      <c r="AC129" t="s">
        <v>74</v>
      </c>
      <c r="AD129" t="s">
        <v>74</v>
      </c>
      <c r="AE129" t="s">
        <v>74</v>
      </c>
      <c r="AF129" t="s">
        <v>74</v>
      </c>
      <c r="AG129">
        <v>50</v>
      </c>
      <c r="AH129">
        <v>9</v>
      </c>
      <c r="AI129">
        <v>11</v>
      </c>
      <c r="AJ129">
        <v>0</v>
      </c>
      <c r="AK129">
        <v>7</v>
      </c>
      <c r="AL129" t="s">
        <v>2072</v>
      </c>
      <c r="AM129" t="s">
        <v>2073</v>
      </c>
      <c r="AN129" t="s">
        <v>2074</v>
      </c>
      <c r="AO129" t="s">
        <v>2075</v>
      </c>
      <c r="AP129" t="s">
        <v>2076</v>
      </c>
      <c r="AQ129" t="s">
        <v>74</v>
      </c>
      <c r="AR129" t="s">
        <v>2077</v>
      </c>
      <c r="AS129" t="s">
        <v>2078</v>
      </c>
      <c r="AT129" t="s">
        <v>2079</v>
      </c>
      <c r="AU129">
        <v>2006</v>
      </c>
      <c r="AV129">
        <v>43</v>
      </c>
      <c r="AW129">
        <v>3</v>
      </c>
      <c r="AX129" t="s">
        <v>74</v>
      </c>
      <c r="AY129" t="s">
        <v>74</v>
      </c>
      <c r="AZ129" t="s">
        <v>74</v>
      </c>
      <c r="BA129" t="s">
        <v>74</v>
      </c>
      <c r="BB129">
        <v>255</v>
      </c>
      <c r="BC129">
        <v>266</v>
      </c>
      <c r="BD129" t="s">
        <v>74</v>
      </c>
      <c r="BE129" t="s">
        <v>2080</v>
      </c>
      <c r="BF129" t="str">
        <f>HYPERLINK("http://dx.doi.org/10.3354/ame043255","http://dx.doi.org/10.3354/ame043255")</f>
        <v>http://dx.doi.org/10.3354/ame043255</v>
      </c>
      <c r="BG129" t="s">
        <v>74</v>
      </c>
      <c r="BH129" t="s">
        <v>74</v>
      </c>
      <c r="BI129">
        <v>12</v>
      </c>
      <c r="BJ129" t="s">
        <v>2081</v>
      </c>
      <c r="BK129" t="s">
        <v>97</v>
      </c>
      <c r="BL129" t="s">
        <v>2082</v>
      </c>
      <c r="BM129" t="s">
        <v>2083</v>
      </c>
      <c r="BN129" t="s">
        <v>74</v>
      </c>
      <c r="BO129" t="s">
        <v>164</v>
      </c>
      <c r="BP129" t="s">
        <v>74</v>
      </c>
      <c r="BQ129" t="s">
        <v>74</v>
      </c>
      <c r="BR129" t="s">
        <v>100</v>
      </c>
      <c r="BS129" t="s">
        <v>2084</v>
      </c>
      <c r="BT129" t="str">
        <f>HYPERLINK("https%3A%2F%2Fwww.webofscience.com%2Fwos%2Fwoscc%2Ffull-record%2FWOS:000239797100005","View Full Record in Web of Science")</f>
        <v>View Full Record in Web of Science</v>
      </c>
    </row>
    <row r="130" spans="1:72" x14ac:dyDescent="0.15">
      <c r="A130" t="s">
        <v>72</v>
      </c>
      <c r="B130" t="s">
        <v>2085</v>
      </c>
      <c r="C130" t="s">
        <v>74</v>
      </c>
      <c r="D130" t="s">
        <v>74</v>
      </c>
      <c r="E130" t="s">
        <v>74</v>
      </c>
      <c r="F130" t="s">
        <v>2086</v>
      </c>
      <c r="G130" t="s">
        <v>74</v>
      </c>
      <c r="H130" t="s">
        <v>74</v>
      </c>
      <c r="I130" t="s">
        <v>2087</v>
      </c>
      <c r="J130" t="s">
        <v>1748</v>
      </c>
      <c r="K130" t="s">
        <v>74</v>
      </c>
      <c r="L130" t="s">
        <v>74</v>
      </c>
      <c r="M130" t="s">
        <v>78</v>
      </c>
      <c r="N130" t="s">
        <v>79</v>
      </c>
      <c r="O130" t="s">
        <v>74</v>
      </c>
      <c r="P130" t="s">
        <v>74</v>
      </c>
      <c r="Q130" t="s">
        <v>74</v>
      </c>
      <c r="R130" t="s">
        <v>74</v>
      </c>
      <c r="S130" t="s">
        <v>74</v>
      </c>
      <c r="T130" t="s">
        <v>74</v>
      </c>
      <c r="U130" t="s">
        <v>2088</v>
      </c>
      <c r="V130" t="s">
        <v>2089</v>
      </c>
      <c r="W130" t="s">
        <v>2090</v>
      </c>
      <c r="X130" t="s">
        <v>2091</v>
      </c>
      <c r="Y130" t="s">
        <v>2092</v>
      </c>
      <c r="Z130" t="s">
        <v>2093</v>
      </c>
      <c r="AA130" t="s">
        <v>2094</v>
      </c>
      <c r="AB130" t="s">
        <v>2095</v>
      </c>
      <c r="AC130" t="s">
        <v>2096</v>
      </c>
      <c r="AD130" t="s">
        <v>413</v>
      </c>
      <c r="AE130" t="s">
        <v>74</v>
      </c>
      <c r="AF130" t="s">
        <v>74</v>
      </c>
      <c r="AG130">
        <v>27</v>
      </c>
      <c r="AH130">
        <v>117</v>
      </c>
      <c r="AI130">
        <v>132</v>
      </c>
      <c r="AJ130">
        <v>1</v>
      </c>
      <c r="AK130">
        <v>30</v>
      </c>
      <c r="AL130" t="s">
        <v>1757</v>
      </c>
      <c r="AM130" t="s">
        <v>88</v>
      </c>
      <c r="AN130" t="s">
        <v>1758</v>
      </c>
      <c r="AO130" t="s">
        <v>1759</v>
      </c>
      <c r="AP130" t="s">
        <v>74</v>
      </c>
      <c r="AQ130" t="s">
        <v>74</v>
      </c>
      <c r="AR130" t="s">
        <v>1761</v>
      </c>
      <c r="AS130" t="s">
        <v>1762</v>
      </c>
      <c r="AT130" t="s">
        <v>2079</v>
      </c>
      <c r="AU130">
        <v>2006</v>
      </c>
      <c r="AV130">
        <v>33</v>
      </c>
      <c r="AW130">
        <v>14</v>
      </c>
      <c r="AX130" t="s">
        <v>74</v>
      </c>
      <c r="AY130" t="s">
        <v>74</v>
      </c>
      <c r="AZ130" t="s">
        <v>74</v>
      </c>
      <c r="BA130" t="s">
        <v>74</v>
      </c>
      <c r="BB130" t="s">
        <v>74</v>
      </c>
      <c r="BC130" t="s">
        <v>74</v>
      </c>
      <c r="BD130" t="s">
        <v>2097</v>
      </c>
      <c r="BE130" t="s">
        <v>2098</v>
      </c>
      <c r="BF130" t="str">
        <f>HYPERLINK("http://dx.doi.org/10.1029/2006GL026290","http://dx.doi.org/10.1029/2006GL026290")</f>
        <v>http://dx.doi.org/10.1029/2006GL026290</v>
      </c>
      <c r="BG130" t="s">
        <v>74</v>
      </c>
      <c r="BH130" t="s">
        <v>74</v>
      </c>
      <c r="BI130">
        <v>4</v>
      </c>
      <c r="BJ130" t="s">
        <v>527</v>
      </c>
      <c r="BK130" t="s">
        <v>97</v>
      </c>
      <c r="BL130" t="s">
        <v>528</v>
      </c>
      <c r="BM130" t="s">
        <v>2099</v>
      </c>
      <c r="BN130" t="s">
        <v>74</v>
      </c>
      <c r="BO130" t="s">
        <v>2100</v>
      </c>
      <c r="BP130" t="s">
        <v>74</v>
      </c>
      <c r="BQ130" t="s">
        <v>74</v>
      </c>
      <c r="BR130" t="s">
        <v>100</v>
      </c>
      <c r="BS130" t="s">
        <v>2101</v>
      </c>
      <c r="BT130" t="str">
        <f>HYPERLINK("https%3A%2F%2Fwww.webofscience.com%2Fwos%2Fwoscc%2Ffull-record%2FWOS:000239577100005","View Full Record in Web of Science")</f>
        <v>View Full Record in Web of Science</v>
      </c>
    </row>
    <row r="131" spans="1:72" x14ac:dyDescent="0.15">
      <c r="A131" t="s">
        <v>72</v>
      </c>
      <c r="B131" t="s">
        <v>2102</v>
      </c>
      <c r="C131" t="s">
        <v>74</v>
      </c>
      <c r="D131" t="s">
        <v>74</v>
      </c>
      <c r="E131" t="s">
        <v>74</v>
      </c>
      <c r="F131" t="s">
        <v>2103</v>
      </c>
      <c r="G131" t="s">
        <v>74</v>
      </c>
      <c r="H131" t="s">
        <v>74</v>
      </c>
      <c r="I131" t="s">
        <v>2104</v>
      </c>
      <c r="J131" t="s">
        <v>2105</v>
      </c>
      <c r="K131" t="s">
        <v>74</v>
      </c>
      <c r="L131" t="s">
        <v>74</v>
      </c>
      <c r="M131" t="s">
        <v>78</v>
      </c>
      <c r="N131" t="s">
        <v>79</v>
      </c>
      <c r="O131" t="s">
        <v>74</v>
      </c>
      <c r="P131" t="s">
        <v>74</v>
      </c>
      <c r="Q131" t="s">
        <v>74</v>
      </c>
      <c r="R131" t="s">
        <v>74</v>
      </c>
      <c r="S131" t="s">
        <v>74</v>
      </c>
      <c r="T131" t="s">
        <v>74</v>
      </c>
      <c r="U131" t="s">
        <v>2106</v>
      </c>
      <c r="V131" t="s">
        <v>2107</v>
      </c>
      <c r="W131" t="s">
        <v>2108</v>
      </c>
      <c r="X131" t="s">
        <v>2109</v>
      </c>
      <c r="Y131" t="s">
        <v>2110</v>
      </c>
      <c r="Z131" t="s">
        <v>2111</v>
      </c>
      <c r="AA131" t="s">
        <v>2112</v>
      </c>
      <c r="AB131" t="s">
        <v>2113</v>
      </c>
      <c r="AC131" t="s">
        <v>74</v>
      </c>
      <c r="AD131" t="s">
        <v>74</v>
      </c>
      <c r="AE131" t="s">
        <v>74</v>
      </c>
      <c r="AF131" t="s">
        <v>74</v>
      </c>
      <c r="AG131">
        <v>33</v>
      </c>
      <c r="AH131">
        <v>25</v>
      </c>
      <c r="AI131">
        <v>28</v>
      </c>
      <c r="AJ131">
        <v>0</v>
      </c>
      <c r="AK131">
        <v>5</v>
      </c>
      <c r="AL131" t="s">
        <v>1757</v>
      </c>
      <c r="AM131" t="s">
        <v>88</v>
      </c>
      <c r="AN131" t="s">
        <v>1758</v>
      </c>
      <c r="AO131" t="s">
        <v>2114</v>
      </c>
      <c r="AP131" t="s">
        <v>2115</v>
      </c>
      <c r="AQ131" t="s">
        <v>74</v>
      </c>
      <c r="AR131" t="s">
        <v>2116</v>
      </c>
      <c r="AS131" t="s">
        <v>2117</v>
      </c>
      <c r="AT131" t="s">
        <v>2079</v>
      </c>
      <c r="AU131">
        <v>2006</v>
      </c>
      <c r="AV131">
        <v>41</v>
      </c>
      <c r="AW131">
        <v>4</v>
      </c>
      <c r="AX131" t="s">
        <v>74</v>
      </c>
      <c r="AY131" t="s">
        <v>74</v>
      </c>
      <c r="AZ131" t="s">
        <v>74</v>
      </c>
      <c r="BA131" t="s">
        <v>74</v>
      </c>
      <c r="BB131" t="s">
        <v>74</v>
      </c>
      <c r="BC131" t="s">
        <v>74</v>
      </c>
      <c r="BD131" t="s">
        <v>2118</v>
      </c>
      <c r="BE131" t="s">
        <v>2119</v>
      </c>
      <c r="BF131" t="str">
        <f>HYPERLINK("http://dx.doi.org/10.1029/2005RS003247","http://dx.doi.org/10.1029/2005RS003247")</f>
        <v>http://dx.doi.org/10.1029/2005RS003247</v>
      </c>
      <c r="BG131" t="s">
        <v>74</v>
      </c>
      <c r="BH131" t="s">
        <v>74</v>
      </c>
      <c r="BI131">
        <v>19</v>
      </c>
      <c r="BJ131" t="s">
        <v>2120</v>
      </c>
      <c r="BK131" t="s">
        <v>97</v>
      </c>
      <c r="BL131" t="s">
        <v>2120</v>
      </c>
      <c r="BM131" t="s">
        <v>2121</v>
      </c>
      <c r="BN131" t="s">
        <v>74</v>
      </c>
      <c r="BO131" t="s">
        <v>74</v>
      </c>
      <c r="BP131" t="s">
        <v>74</v>
      </c>
      <c r="BQ131" t="s">
        <v>74</v>
      </c>
      <c r="BR131" t="s">
        <v>100</v>
      </c>
      <c r="BS131" t="s">
        <v>2122</v>
      </c>
      <c r="BT131" t="str">
        <f>HYPERLINK("https%3A%2F%2Fwww.webofscience.com%2Fwos%2Fwoscc%2Ffull-record%2FWOS:000239582300001","View Full Record in Web of Science")</f>
        <v>View Full Record in Web of Science</v>
      </c>
    </row>
    <row r="132" spans="1:72" x14ac:dyDescent="0.15">
      <c r="A132" t="s">
        <v>72</v>
      </c>
      <c r="B132" t="s">
        <v>2123</v>
      </c>
      <c r="C132" t="s">
        <v>74</v>
      </c>
      <c r="D132" t="s">
        <v>74</v>
      </c>
      <c r="E132" t="s">
        <v>74</v>
      </c>
      <c r="F132" t="s">
        <v>2124</v>
      </c>
      <c r="G132" t="s">
        <v>74</v>
      </c>
      <c r="H132" t="s">
        <v>74</v>
      </c>
      <c r="I132" t="s">
        <v>2125</v>
      </c>
      <c r="J132" t="s">
        <v>614</v>
      </c>
      <c r="K132" t="s">
        <v>74</v>
      </c>
      <c r="L132" t="s">
        <v>74</v>
      </c>
      <c r="M132" t="s">
        <v>78</v>
      </c>
      <c r="N132" t="s">
        <v>79</v>
      </c>
      <c r="O132" t="s">
        <v>74</v>
      </c>
      <c r="P132" t="s">
        <v>74</v>
      </c>
      <c r="Q132" t="s">
        <v>74</v>
      </c>
      <c r="R132" t="s">
        <v>74</v>
      </c>
      <c r="S132" t="s">
        <v>74</v>
      </c>
      <c r="T132" t="s">
        <v>2126</v>
      </c>
      <c r="U132" t="s">
        <v>2127</v>
      </c>
      <c r="V132" t="s">
        <v>2128</v>
      </c>
      <c r="W132" t="s">
        <v>2129</v>
      </c>
      <c r="X132" t="s">
        <v>2130</v>
      </c>
      <c r="Y132" t="s">
        <v>2131</v>
      </c>
      <c r="Z132" t="s">
        <v>2132</v>
      </c>
      <c r="AA132" t="s">
        <v>74</v>
      </c>
      <c r="AB132" t="s">
        <v>2133</v>
      </c>
      <c r="AC132" t="s">
        <v>2096</v>
      </c>
      <c r="AD132" t="s">
        <v>413</v>
      </c>
      <c r="AE132" t="s">
        <v>74</v>
      </c>
      <c r="AF132" t="s">
        <v>74</v>
      </c>
      <c r="AG132">
        <v>89</v>
      </c>
      <c r="AH132">
        <v>103</v>
      </c>
      <c r="AI132">
        <v>112</v>
      </c>
      <c r="AJ132">
        <v>2</v>
      </c>
      <c r="AK132">
        <v>48</v>
      </c>
      <c r="AL132" t="s">
        <v>387</v>
      </c>
      <c r="AM132" t="s">
        <v>388</v>
      </c>
      <c r="AN132" t="s">
        <v>389</v>
      </c>
      <c r="AO132" t="s">
        <v>622</v>
      </c>
      <c r="AP132" t="s">
        <v>623</v>
      </c>
      <c r="AQ132" t="s">
        <v>74</v>
      </c>
      <c r="AR132" t="s">
        <v>624</v>
      </c>
      <c r="AS132" t="s">
        <v>625</v>
      </c>
      <c r="AT132" t="s">
        <v>2134</v>
      </c>
      <c r="AU132">
        <v>2006</v>
      </c>
      <c r="AV132">
        <v>70</v>
      </c>
      <c r="AW132">
        <v>14</v>
      </c>
      <c r="AX132" t="s">
        <v>74</v>
      </c>
      <c r="AY132" t="s">
        <v>74</v>
      </c>
      <c r="AZ132" t="s">
        <v>74</v>
      </c>
      <c r="BA132" t="s">
        <v>74</v>
      </c>
      <c r="BB132">
        <v>3493</v>
      </c>
      <c r="BC132">
        <v>3507</v>
      </c>
      <c r="BD132" t="s">
        <v>74</v>
      </c>
      <c r="BE132" t="s">
        <v>2135</v>
      </c>
      <c r="BF132" t="str">
        <f>HYPERLINK("http://dx.doi.org/10.1016/j.gca.2006.05.005","http://dx.doi.org/10.1016/j.gca.2006.05.005")</f>
        <v>http://dx.doi.org/10.1016/j.gca.2006.05.005</v>
      </c>
      <c r="BG132" t="s">
        <v>74</v>
      </c>
      <c r="BH132" t="s">
        <v>74</v>
      </c>
      <c r="BI132">
        <v>15</v>
      </c>
      <c r="BJ132" t="s">
        <v>608</v>
      </c>
      <c r="BK132" t="s">
        <v>97</v>
      </c>
      <c r="BL132" t="s">
        <v>608</v>
      </c>
      <c r="BM132" t="s">
        <v>2136</v>
      </c>
      <c r="BN132" t="s">
        <v>74</v>
      </c>
      <c r="BO132" t="s">
        <v>99</v>
      </c>
      <c r="BP132" t="s">
        <v>74</v>
      </c>
      <c r="BQ132" t="s">
        <v>74</v>
      </c>
      <c r="BR132" t="s">
        <v>100</v>
      </c>
      <c r="BS132" t="s">
        <v>2137</v>
      </c>
      <c r="BT132" t="str">
        <f>HYPERLINK("https%3A%2F%2Fwww.webofscience.com%2Fwos%2Fwoscc%2Ffull-record%2FWOS:000239252200001","View Full Record in Web of Science")</f>
        <v>View Full Record in Web of Science</v>
      </c>
    </row>
    <row r="133" spans="1:72" x14ac:dyDescent="0.15">
      <c r="A133" t="s">
        <v>72</v>
      </c>
      <c r="B133" t="s">
        <v>2138</v>
      </c>
      <c r="C133" t="s">
        <v>74</v>
      </c>
      <c r="D133" t="s">
        <v>74</v>
      </c>
      <c r="E133" t="s">
        <v>74</v>
      </c>
      <c r="F133" t="s">
        <v>2139</v>
      </c>
      <c r="G133" t="s">
        <v>74</v>
      </c>
      <c r="H133" t="s">
        <v>74</v>
      </c>
      <c r="I133" t="s">
        <v>2140</v>
      </c>
      <c r="J133" t="s">
        <v>1772</v>
      </c>
      <c r="K133" t="s">
        <v>74</v>
      </c>
      <c r="L133" t="s">
        <v>74</v>
      </c>
      <c r="M133" t="s">
        <v>78</v>
      </c>
      <c r="N133" t="s">
        <v>79</v>
      </c>
      <c r="O133" t="s">
        <v>74</v>
      </c>
      <c r="P133" t="s">
        <v>74</v>
      </c>
      <c r="Q133" t="s">
        <v>74</v>
      </c>
      <c r="R133" t="s">
        <v>74</v>
      </c>
      <c r="S133" t="s">
        <v>74</v>
      </c>
      <c r="T133" t="s">
        <v>74</v>
      </c>
      <c r="U133" t="s">
        <v>2141</v>
      </c>
      <c r="V133" t="s">
        <v>2142</v>
      </c>
      <c r="W133" t="s">
        <v>2143</v>
      </c>
      <c r="X133" t="s">
        <v>2144</v>
      </c>
      <c r="Y133" t="s">
        <v>2145</v>
      </c>
      <c r="Z133" t="s">
        <v>2146</v>
      </c>
      <c r="AA133" t="s">
        <v>2147</v>
      </c>
      <c r="AB133" t="s">
        <v>2148</v>
      </c>
      <c r="AC133" t="s">
        <v>74</v>
      </c>
      <c r="AD133" t="s">
        <v>74</v>
      </c>
      <c r="AE133" t="s">
        <v>74</v>
      </c>
      <c r="AF133" t="s">
        <v>74</v>
      </c>
      <c r="AG133">
        <v>45</v>
      </c>
      <c r="AH133">
        <v>12</v>
      </c>
      <c r="AI133">
        <v>12</v>
      </c>
      <c r="AJ133">
        <v>0</v>
      </c>
      <c r="AK133">
        <v>5</v>
      </c>
      <c r="AL133" t="s">
        <v>1757</v>
      </c>
      <c r="AM133" t="s">
        <v>88</v>
      </c>
      <c r="AN133" t="s">
        <v>1758</v>
      </c>
      <c r="AO133" t="s">
        <v>1779</v>
      </c>
      <c r="AP133" t="s">
        <v>74</v>
      </c>
      <c r="AQ133" t="s">
        <v>74</v>
      </c>
      <c r="AR133" t="s">
        <v>1781</v>
      </c>
      <c r="AS133" t="s">
        <v>1782</v>
      </c>
      <c r="AT133" t="s">
        <v>2134</v>
      </c>
      <c r="AU133">
        <v>2006</v>
      </c>
      <c r="AV133">
        <v>111</v>
      </c>
      <c r="AW133" t="s">
        <v>2149</v>
      </c>
      <c r="AX133" t="s">
        <v>74</v>
      </c>
      <c r="AY133" t="s">
        <v>74</v>
      </c>
      <c r="AZ133" t="s">
        <v>74</v>
      </c>
      <c r="BA133" t="s">
        <v>74</v>
      </c>
      <c r="BB133" t="s">
        <v>74</v>
      </c>
      <c r="BC133" t="s">
        <v>74</v>
      </c>
      <c r="BD133" t="s">
        <v>2150</v>
      </c>
      <c r="BE133" t="s">
        <v>2151</v>
      </c>
      <c r="BF133" t="str">
        <f>HYPERLINK("http://dx.doi.org/10.1029/2005JD006445","http://dx.doi.org/10.1029/2005JD006445")</f>
        <v>http://dx.doi.org/10.1029/2005JD006445</v>
      </c>
      <c r="BG133" t="s">
        <v>74</v>
      </c>
      <c r="BH133" t="s">
        <v>74</v>
      </c>
      <c r="BI133">
        <v>13</v>
      </c>
      <c r="BJ133" t="s">
        <v>869</v>
      </c>
      <c r="BK133" t="s">
        <v>97</v>
      </c>
      <c r="BL133" t="s">
        <v>869</v>
      </c>
      <c r="BM133" t="s">
        <v>2152</v>
      </c>
      <c r="BN133" t="s">
        <v>74</v>
      </c>
      <c r="BO133" t="s">
        <v>460</v>
      </c>
      <c r="BP133" t="s">
        <v>74</v>
      </c>
      <c r="BQ133" t="s">
        <v>74</v>
      </c>
      <c r="BR133" t="s">
        <v>100</v>
      </c>
      <c r="BS133" t="s">
        <v>2153</v>
      </c>
      <c r="BT133" t="str">
        <f>HYPERLINK("https%3A%2F%2Fwww.webofscience.com%2Fwos%2Fwoscc%2Ffull-record%2FWOS:000239217300004","View Full Record in Web of Science")</f>
        <v>View Full Record in Web of Science</v>
      </c>
    </row>
    <row r="134" spans="1:72" x14ac:dyDescent="0.15">
      <c r="A134" t="s">
        <v>72</v>
      </c>
      <c r="B134" t="s">
        <v>2154</v>
      </c>
      <c r="C134" t="s">
        <v>74</v>
      </c>
      <c r="D134" t="s">
        <v>74</v>
      </c>
      <c r="E134" t="s">
        <v>74</v>
      </c>
      <c r="F134" t="s">
        <v>2155</v>
      </c>
      <c r="G134" t="s">
        <v>74</v>
      </c>
      <c r="H134" t="s">
        <v>74</v>
      </c>
      <c r="I134" t="s">
        <v>2156</v>
      </c>
      <c r="J134" t="s">
        <v>2157</v>
      </c>
      <c r="K134" t="s">
        <v>74</v>
      </c>
      <c r="L134" t="s">
        <v>74</v>
      </c>
      <c r="M134" t="s">
        <v>78</v>
      </c>
      <c r="N134" t="s">
        <v>552</v>
      </c>
      <c r="O134" t="s">
        <v>74</v>
      </c>
      <c r="P134" t="s">
        <v>74</v>
      </c>
      <c r="Q134" t="s">
        <v>74</v>
      </c>
      <c r="R134" t="s">
        <v>74</v>
      </c>
      <c r="S134" t="s">
        <v>74</v>
      </c>
      <c r="T134" t="s">
        <v>74</v>
      </c>
      <c r="U134" t="s">
        <v>74</v>
      </c>
      <c r="V134" t="s">
        <v>74</v>
      </c>
      <c r="W134" t="s">
        <v>2158</v>
      </c>
      <c r="X134" t="s">
        <v>2159</v>
      </c>
      <c r="Y134" t="s">
        <v>2160</v>
      </c>
      <c r="Z134" t="s">
        <v>2161</v>
      </c>
      <c r="AA134" t="s">
        <v>2162</v>
      </c>
      <c r="AB134" t="s">
        <v>2163</v>
      </c>
      <c r="AC134" t="s">
        <v>74</v>
      </c>
      <c r="AD134" t="s">
        <v>74</v>
      </c>
      <c r="AE134" t="s">
        <v>74</v>
      </c>
      <c r="AF134" t="s">
        <v>74</v>
      </c>
      <c r="AG134">
        <v>0</v>
      </c>
      <c r="AH134">
        <v>0</v>
      </c>
      <c r="AI134">
        <v>0</v>
      </c>
      <c r="AJ134">
        <v>0</v>
      </c>
      <c r="AK134">
        <v>1</v>
      </c>
      <c r="AL134" t="s">
        <v>2164</v>
      </c>
      <c r="AM134" t="s">
        <v>557</v>
      </c>
      <c r="AN134" t="s">
        <v>2165</v>
      </c>
      <c r="AO134" t="s">
        <v>2166</v>
      </c>
      <c r="AP134" t="s">
        <v>74</v>
      </c>
      <c r="AQ134" t="s">
        <v>74</v>
      </c>
      <c r="AR134" t="s">
        <v>2167</v>
      </c>
      <c r="AS134" t="s">
        <v>2168</v>
      </c>
      <c r="AT134" t="s">
        <v>2134</v>
      </c>
      <c r="AU134">
        <v>2006</v>
      </c>
      <c r="AV134">
        <v>364</v>
      </c>
      <c r="AW134">
        <v>1844</v>
      </c>
      <c r="AX134" t="s">
        <v>74</v>
      </c>
      <c r="AY134" t="s">
        <v>74</v>
      </c>
      <c r="AZ134" t="s">
        <v>74</v>
      </c>
      <c r="BA134" t="s">
        <v>74</v>
      </c>
      <c r="BB134">
        <v>1581</v>
      </c>
      <c r="BC134">
        <v>1582</v>
      </c>
      <c r="BD134" t="s">
        <v>74</v>
      </c>
      <c r="BE134" t="s">
        <v>2169</v>
      </c>
      <c r="BF134" t="str">
        <f>HYPERLINK("http://dx.doi.org/10.1098/rsta.2006.1789","http://dx.doi.org/10.1098/rsta.2006.1789")</f>
        <v>http://dx.doi.org/10.1098/rsta.2006.1789</v>
      </c>
      <c r="BG134" t="s">
        <v>74</v>
      </c>
      <c r="BH134" t="s">
        <v>74</v>
      </c>
      <c r="BI134">
        <v>2</v>
      </c>
      <c r="BJ134" t="s">
        <v>1841</v>
      </c>
      <c r="BK134" t="s">
        <v>97</v>
      </c>
      <c r="BL134" t="s">
        <v>1842</v>
      </c>
      <c r="BM134" t="s">
        <v>2170</v>
      </c>
      <c r="BN134" t="s">
        <v>74</v>
      </c>
      <c r="BO134" t="s">
        <v>460</v>
      </c>
      <c r="BP134" t="s">
        <v>74</v>
      </c>
      <c r="BQ134" t="s">
        <v>74</v>
      </c>
      <c r="BR134" t="s">
        <v>100</v>
      </c>
      <c r="BS134" t="s">
        <v>2171</v>
      </c>
      <c r="BT134" t="str">
        <f>HYPERLINK("https%3A%2F%2Fwww.webofscience.com%2Fwos%2Fwoscc%2Ffull-record%2FWOS:000238944500001","View Full Record in Web of Science")</f>
        <v>View Full Record in Web of Science</v>
      </c>
    </row>
    <row r="135" spans="1:72" x14ac:dyDescent="0.15">
      <c r="A135" t="s">
        <v>72</v>
      </c>
      <c r="B135" t="s">
        <v>2172</v>
      </c>
      <c r="C135" t="s">
        <v>74</v>
      </c>
      <c r="D135" t="s">
        <v>74</v>
      </c>
      <c r="E135" t="s">
        <v>74</v>
      </c>
      <c r="F135" t="s">
        <v>2173</v>
      </c>
      <c r="G135" t="s">
        <v>74</v>
      </c>
      <c r="H135" t="s">
        <v>74</v>
      </c>
      <c r="I135" t="s">
        <v>2174</v>
      </c>
      <c r="J135" t="s">
        <v>2157</v>
      </c>
      <c r="K135" t="s">
        <v>74</v>
      </c>
      <c r="L135" t="s">
        <v>74</v>
      </c>
      <c r="M135" t="s">
        <v>78</v>
      </c>
      <c r="N135" t="s">
        <v>1226</v>
      </c>
      <c r="O135" t="s">
        <v>2175</v>
      </c>
      <c r="P135" t="s">
        <v>2176</v>
      </c>
      <c r="Q135" t="s">
        <v>2177</v>
      </c>
      <c r="R135" t="s">
        <v>74</v>
      </c>
      <c r="S135" t="s">
        <v>74</v>
      </c>
      <c r="T135" t="s">
        <v>2178</v>
      </c>
      <c r="U135" t="s">
        <v>2179</v>
      </c>
      <c r="V135" t="s">
        <v>2180</v>
      </c>
      <c r="W135" t="s">
        <v>2181</v>
      </c>
      <c r="X135" t="s">
        <v>2182</v>
      </c>
      <c r="Y135" t="s">
        <v>2183</v>
      </c>
      <c r="Z135" t="s">
        <v>2184</v>
      </c>
      <c r="AA135" t="s">
        <v>74</v>
      </c>
      <c r="AB135" t="s">
        <v>74</v>
      </c>
      <c r="AC135" t="s">
        <v>74</v>
      </c>
      <c r="AD135" t="s">
        <v>74</v>
      </c>
      <c r="AE135" t="s">
        <v>74</v>
      </c>
      <c r="AF135" t="s">
        <v>74</v>
      </c>
      <c r="AG135">
        <v>59</v>
      </c>
      <c r="AH135">
        <v>24</v>
      </c>
      <c r="AI135">
        <v>30</v>
      </c>
      <c r="AJ135">
        <v>0</v>
      </c>
      <c r="AK135">
        <v>19</v>
      </c>
      <c r="AL135" t="s">
        <v>2185</v>
      </c>
      <c r="AM135" t="s">
        <v>557</v>
      </c>
      <c r="AN135" t="s">
        <v>2165</v>
      </c>
      <c r="AO135" t="s">
        <v>2166</v>
      </c>
      <c r="AP135" t="s">
        <v>2186</v>
      </c>
      <c r="AQ135" t="s">
        <v>74</v>
      </c>
      <c r="AR135" t="s">
        <v>2167</v>
      </c>
      <c r="AS135" t="s">
        <v>2168</v>
      </c>
      <c r="AT135" t="s">
        <v>2134</v>
      </c>
      <c r="AU135">
        <v>2006</v>
      </c>
      <c r="AV135">
        <v>364</v>
      </c>
      <c r="AW135">
        <v>1844</v>
      </c>
      <c r="AX135" t="s">
        <v>74</v>
      </c>
      <c r="AY135" t="s">
        <v>74</v>
      </c>
      <c r="AZ135" t="s">
        <v>74</v>
      </c>
      <c r="BA135" t="s">
        <v>74</v>
      </c>
      <c r="BB135">
        <v>1583</v>
      </c>
      <c r="BC135">
        <v>1605</v>
      </c>
      <c r="BD135" t="s">
        <v>74</v>
      </c>
      <c r="BE135" t="s">
        <v>2187</v>
      </c>
      <c r="BF135" t="str">
        <f>HYPERLINK("http://dx.doi.org/10.1098/rsta.2006.1790","http://dx.doi.org/10.1098/rsta.2006.1790")</f>
        <v>http://dx.doi.org/10.1098/rsta.2006.1790</v>
      </c>
      <c r="BG135" t="s">
        <v>74</v>
      </c>
      <c r="BH135" t="s">
        <v>74</v>
      </c>
      <c r="BI135">
        <v>23</v>
      </c>
      <c r="BJ135" t="s">
        <v>1841</v>
      </c>
      <c r="BK135" t="s">
        <v>668</v>
      </c>
      <c r="BL135" t="s">
        <v>1842</v>
      </c>
      <c r="BM135" t="s">
        <v>2170</v>
      </c>
      <c r="BN135">
        <v>16782601</v>
      </c>
      <c r="BO135" t="s">
        <v>74</v>
      </c>
      <c r="BP135" t="s">
        <v>74</v>
      </c>
      <c r="BQ135" t="s">
        <v>74</v>
      </c>
      <c r="BR135" t="s">
        <v>100</v>
      </c>
      <c r="BS135" t="s">
        <v>2188</v>
      </c>
      <c r="BT135" t="str">
        <f>HYPERLINK("https%3A%2F%2Fwww.webofscience.com%2Fwos%2Fwoscc%2Ffull-record%2FWOS:000238944500002","View Full Record in Web of Science")</f>
        <v>View Full Record in Web of Science</v>
      </c>
    </row>
    <row r="136" spans="1:72" x14ac:dyDescent="0.15">
      <c r="A136" t="s">
        <v>72</v>
      </c>
      <c r="B136" t="s">
        <v>2189</v>
      </c>
      <c r="C136" t="s">
        <v>74</v>
      </c>
      <c r="D136" t="s">
        <v>74</v>
      </c>
      <c r="E136" t="s">
        <v>74</v>
      </c>
      <c r="F136" t="s">
        <v>2190</v>
      </c>
      <c r="G136" t="s">
        <v>74</v>
      </c>
      <c r="H136" t="s">
        <v>74</v>
      </c>
      <c r="I136" t="s">
        <v>2191</v>
      </c>
      <c r="J136" t="s">
        <v>2157</v>
      </c>
      <c r="K136" t="s">
        <v>74</v>
      </c>
      <c r="L136" t="s">
        <v>74</v>
      </c>
      <c r="M136" t="s">
        <v>78</v>
      </c>
      <c r="N136" t="s">
        <v>1226</v>
      </c>
      <c r="O136" t="s">
        <v>2175</v>
      </c>
      <c r="P136" t="s">
        <v>2176</v>
      </c>
      <c r="Q136" t="s">
        <v>2177</v>
      </c>
      <c r="R136" t="s">
        <v>74</v>
      </c>
      <c r="S136" t="s">
        <v>74</v>
      </c>
      <c r="T136" t="s">
        <v>2192</v>
      </c>
      <c r="U136" t="s">
        <v>2193</v>
      </c>
      <c r="V136" t="s">
        <v>2194</v>
      </c>
      <c r="W136" t="s">
        <v>2195</v>
      </c>
      <c r="X136" t="s">
        <v>2196</v>
      </c>
      <c r="Y136" t="s">
        <v>2197</v>
      </c>
      <c r="Z136" t="s">
        <v>2198</v>
      </c>
      <c r="AA136" t="s">
        <v>2199</v>
      </c>
      <c r="AB136" t="s">
        <v>2200</v>
      </c>
      <c r="AC136" t="s">
        <v>74</v>
      </c>
      <c r="AD136" t="s">
        <v>74</v>
      </c>
      <c r="AE136" t="s">
        <v>74</v>
      </c>
      <c r="AF136" t="s">
        <v>74</v>
      </c>
      <c r="AG136">
        <v>55</v>
      </c>
      <c r="AH136">
        <v>40</v>
      </c>
      <c r="AI136">
        <v>43</v>
      </c>
      <c r="AJ136">
        <v>2</v>
      </c>
      <c r="AK136">
        <v>43</v>
      </c>
      <c r="AL136" t="s">
        <v>2185</v>
      </c>
      <c r="AM136" t="s">
        <v>557</v>
      </c>
      <c r="AN136" t="s">
        <v>2165</v>
      </c>
      <c r="AO136" t="s">
        <v>2166</v>
      </c>
      <c r="AP136" t="s">
        <v>2186</v>
      </c>
      <c r="AQ136" t="s">
        <v>74</v>
      </c>
      <c r="AR136" t="s">
        <v>2167</v>
      </c>
      <c r="AS136" t="s">
        <v>2168</v>
      </c>
      <c r="AT136" t="s">
        <v>2134</v>
      </c>
      <c r="AU136">
        <v>2006</v>
      </c>
      <c r="AV136">
        <v>364</v>
      </c>
      <c r="AW136">
        <v>1844</v>
      </c>
      <c r="AX136" t="s">
        <v>74</v>
      </c>
      <c r="AY136" t="s">
        <v>74</v>
      </c>
      <c r="AZ136" t="s">
        <v>74</v>
      </c>
      <c r="BA136" t="s">
        <v>74</v>
      </c>
      <c r="BB136">
        <v>1607</v>
      </c>
      <c r="BC136">
        <v>1625</v>
      </c>
      <c r="BD136" t="s">
        <v>74</v>
      </c>
      <c r="BE136" t="s">
        <v>2201</v>
      </c>
      <c r="BF136" t="str">
        <f>HYPERLINK("http://dx.doi.org/10.1098/rsta.2006.1791","http://dx.doi.org/10.1098/rsta.2006.1791")</f>
        <v>http://dx.doi.org/10.1098/rsta.2006.1791</v>
      </c>
      <c r="BG136" t="s">
        <v>74</v>
      </c>
      <c r="BH136" t="s">
        <v>74</v>
      </c>
      <c r="BI136">
        <v>19</v>
      </c>
      <c r="BJ136" t="s">
        <v>1841</v>
      </c>
      <c r="BK136" t="s">
        <v>668</v>
      </c>
      <c r="BL136" t="s">
        <v>1842</v>
      </c>
      <c r="BM136" t="s">
        <v>2170</v>
      </c>
      <c r="BN136">
        <v>16782602</v>
      </c>
      <c r="BO136" t="s">
        <v>74</v>
      </c>
      <c r="BP136" t="s">
        <v>74</v>
      </c>
      <c r="BQ136" t="s">
        <v>74</v>
      </c>
      <c r="BR136" t="s">
        <v>100</v>
      </c>
      <c r="BS136" t="s">
        <v>2202</v>
      </c>
      <c r="BT136" t="str">
        <f>HYPERLINK("https%3A%2F%2Fwww.webofscience.com%2Fwos%2Fwoscc%2Ffull-record%2FWOS:000238944500003","View Full Record in Web of Science")</f>
        <v>View Full Record in Web of Science</v>
      </c>
    </row>
    <row r="137" spans="1:72" x14ac:dyDescent="0.15">
      <c r="A137" t="s">
        <v>72</v>
      </c>
      <c r="B137" t="s">
        <v>2203</v>
      </c>
      <c r="C137" t="s">
        <v>74</v>
      </c>
      <c r="D137" t="s">
        <v>74</v>
      </c>
      <c r="E137" t="s">
        <v>74</v>
      </c>
      <c r="F137" t="s">
        <v>2204</v>
      </c>
      <c r="G137" t="s">
        <v>74</v>
      </c>
      <c r="H137" t="s">
        <v>74</v>
      </c>
      <c r="I137" t="s">
        <v>2205</v>
      </c>
      <c r="J137" t="s">
        <v>2157</v>
      </c>
      <c r="K137" t="s">
        <v>74</v>
      </c>
      <c r="L137" t="s">
        <v>74</v>
      </c>
      <c r="M137" t="s">
        <v>78</v>
      </c>
      <c r="N137" t="s">
        <v>1226</v>
      </c>
      <c r="O137" t="s">
        <v>2175</v>
      </c>
      <c r="P137" t="s">
        <v>2176</v>
      </c>
      <c r="Q137" t="s">
        <v>2177</v>
      </c>
      <c r="R137" t="s">
        <v>74</v>
      </c>
      <c r="S137" t="s">
        <v>74</v>
      </c>
      <c r="T137" t="s">
        <v>2206</v>
      </c>
      <c r="U137" t="s">
        <v>2207</v>
      </c>
      <c r="V137" t="s">
        <v>2208</v>
      </c>
      <c r="W137" t="s">
        <v>2209</v>
      </c>
      <c r="X137" t="s">
        <v>2210</v>
      </c>
      <c r="Y137" t="s">
        <v>2211</v>
      </c>
      <c r="Z137" t="s">
        <v>2212</v>
      </c>
      <c r="AA137" t="s">
        <v>74</v>
      </c>
      <c r="AB137" t="s">
        <v>2213</v>
      </c>
      <c r="AC137" t="s">
        <v>2214</v>
      </c>
      <c r="AD137" t="s">
        <v>413</v>
      </c>
      <c r="AE137" t="s">
        <v>74</v>
      </c>
      <c r="AF137" t="s">
        <v>74</v>
      </c>
      <c r="AG137">
        <v>19</v>
      </c>
      <c r="AH137">
        <v>152</v>
      </c>
      <c r="AI137">
        <v>179</v>
      </c>
      <c r="AJ137">
        <v>1</v>
      </c>
      <c r="AK137">
        <v>42</v>
      </c>
      <c r="AL137" t="s">
        <v>2185</v>
      </c>
      <c r="AM137" t="s">
        <v>557</v>
      </c>
      <c r="AN137" t="s">
        <v>2165</v>
      </c>
      <c r="AO137" t="s">
        <v>2166</v>
      </c>
      <c r="AP137" t="s">
        <v>2186</v>
      </c>
      <c r="AQ137" t="s">
        <v>74</v>
      </c>
      <c r="AR137" t="s">
        <v>2167</v>
      </c>
      <c r="AS137" t="s">
        <v>2168</v>
      </c>
      <c r="AT137" t="s">
        <v>2134</v>
      </c>
      <c r="AU137">
        <v>2006</v>
      </c>
      <c r="AV137">
        <v>364</v>
      </c>
      <c r="AW137">
        <v>1844</v>
      </c>
      <c r="AX137" t="s">
        <v>74</v>
      </c>
      <c r="AY137" t="s">
        <v>74</v>
      </c>
      <c r="AZ137" t="s">
        <v>74</v>
      </c>
      <c r="BA137" t="s">
        <v>74</v>
      </c>
      <c r="BB137">
        <v>1627</v>
      </c>
      <c r="BC137">
        <v>1635</v>
      </c>
      <c r="BD137" t="s">
        <v>74</v>
      </c>
      <c r="BE137" t="s">
        <v>2215</v>
      </c>
      <c r="BF137" t="str">
        <f>HYPERLINK("http://dx.doi.org/10.1098/rsta.2006.1792","http://dx.doi.org/10.1098/rsta.2006.1792")</f>
        <v>http://dx.doi.org/10.1098/rsta.2006.1792</v>
      </c>
      <c r="BG137" t="s">
        <v>74</v>
      </c>
      <c r="BH137" t="s">
        <v>74</v>
      </c>
      <c r="BI137">
        <v>9</v>
      </c>
      <c r="BJ137" t="s">
        <v>1841</v>
      </c>
      <c r="BK137" t="s">
        <v>668</v>
      </c>
      <c r="BL137" t="s">
        <v>1842</v>
      </c>
      <c r="BM137" t="s">
        <v>2170</v>
      </c>
      <c r="BN137">
        <v>16782603</v>
      </c>
      <c r="BO137" t="s">
        <v>2216</v>
      </c>
      <c r="BP137" t="s">
        <v>74</v>
      </c>
      <c r="BQ137" t="s">
        <v>74</v>
      </c>
      <c r="BR137" t="s">
        <v>100</v>
      </c>
      <c r="BS137" t="s">
        <v>2217</v>
      </c>
      <c r="BT137" t="str">
        <f>HYPERLINK("https%3A%2F%2Fwww.webofscience.com%2Fwos%2Fwoscc%2Ffull-record%2FWOS:000238944500004","View Full Record in Web of Science")</f>
        <v>View Full Record in Web of Science</v>
      </c>
    </row>
    <row r="138" spans="1:72" x14ac:dyDescent="0.15">
      <c r="A138" t="s">
        <v>72</v>
      </c>
      <c r="B138" t="s">
        <v>2218</v>
      </c>
      <c r="C138" t="s">
        <v>74</v>
      </c>
      <c r="D138" t="s">
        <v>74</v>
      </c>
      <c r="E138" t="s">
        <v>74</v>
      </c>
      <c r="F138" t="s">
        <v>2219</v>
      </c>
      <c r="G138" t="s">
        <v>74</v>
      </c>
      <c r="H138" t="s">
        <v>74</v>
      </c>
      <c r="I138" t="s">
        <v>2220</v>
      </c>
      <c r="J138" t="s">
        <v>2157</v>
      </c>
      <c r="K138" t="s">
        <v>74</v>
      </c>
      <c r="L138" t="s">
        <v>74</v>
      </c>
      <c r="M138" t="s">
        <v>78</v>
      </c>
      <c r="N138" t="s">
        <v>1226</v>
      </c>
      <c r="O138" t="s">
        <v>2175</v>
      </c>
      <c r="P138" t="s">
        <v>2176</v>
      </c>
      <c r="Q138" t="s">
        <v>2177</v>
      </c>
      <c r="R138" t="s">
        <v>74</v>
      </c>
      <c r="S138" t="s">
        <v>74</v>
      </c>
      <c r="T138" t="s">
        <v>2221</v>
      </c>
      <c r="U138" t="s">
        <v>2222</v>
      </c>
      <c r="V138" t="s">
        <v>2223</v>
      </c>
      <c r="W138" t="s">
        <v>2224</v>
      </c>
      <c r="X138" t="s">
        <v>2225</v>
      </c>
      <c r="Y138" t="s">
        <v>2226</v>
      </c>
      <c r="Z138" t="s">
        <v>2227</v>
      </c>
      <c r="AA138" t="s">
        <v>2228</v>
      </c>
      <c r="AB138" t="s">
        <v>2229</v>
      </c>
      <c r="AC138" t="s">
        <v>74</v>
      </c>
      <c r="AD138" t="s">
        <v>74</v>
      </c>
      <c r="AE138" t="s">
        <v>74</v>
      </c>
      <c r="AF138" t="s">
        <v>74</v>
      </c>
      <c r="AG138">
        <v>70</v>
      </c>
      <c r="AH138">
        <v>85</v>
      </c>
      <c r="AI138">
        <v>98</v>
      </c>
      <c r="AJ138">
        <v>2</v>
      </c>
      <c r="AK138">
        <v>42</v>
      </c>
      <c r="AL138" t="s">
        <v>2185</v>
      </c>
      <c r="AM138" t="s">
        <v>557</v>
      </c>
      <c r="AN138" t="s">
        <v>2165</v>
      </c>
      <c r="AO138" t="s">
        <v>2166</v>
      </c>
      <c r="AP138" t="s">
        <v>2186</v>
      </c>
      <c r="AQ138" t="s">
        <v>74</v>
      </c>
      <c r="AR138" t="s">
        <v>2167</v>
      </c>
      <c r="AS138" t="s">
        <v>2168</v>
      </c>
      <c r="AT138" t="s">
        <v>2134</v>
      </c>
      <c r="AU138">
        <v>2006</v>
      </c>
      <c r="AV138">
        <v>364</v>
      </c>
      <c r="AW138">
        <v>1844</v>
      </c>
      <c r="AX138" t="s">
        <v>74</v>
      </c>
      <c r="AY138" t="s">
        <v>74</v>
      </c>
      <c r="AZ138" t="s">
        <v>74</v>
      </c>
      <c r="BA138" t="s">
        <v>74</v>
      </c>
      <c r="BB138">
        <v>1637</v>
      </c>
      <c r="BC138">
        <v>1655</v>
      </c>
      <c r="BD138" t="s">
        <v>74</v>
      </c>
      <c r="BE138" t="s">
        <v>2230</v>
      </c>
      <c r="BF138" t="str">
        <f>HYPERLINK("http://dx.doi.org/10.1098/rsta.2006.1793","http://dx.doi.org/10.1098/rsta.2006.1793")</f>
        <v>http://dx.doi.org/10.1098/rsta.2006.1793</v>
      </c>
      <c r="BG138" t="s">
        <v>74</v>
      </c>
      <c r="BH138" t="s">
        <v>74</v>
      </c>
      <c r="BI138">
        <v>19</v>
      </c>
      <c r="BJ138" t="s">
        <v>1841</v>
      </c>
      <c r="BK138" t="s">
        <v>668</v>
      </c>
      <c r="BL138" t="s">
        <v>1842</v>
      </c>
      <c r="BM138" t="s">
        <v>2170</v>
      </c>
      <c r="BN138">
        <v>16782604</v>
      </c>
      <c r="BO138" t="s">
        <v>147</v>
      </c>
      <c r="BP138" t="s">
        <v>74</v>
      </c>
      <c r="BQ138" t="s">
        <v>74</v>
      </c>
      <c r="BR138" t="s">
        <v>100</v>
      </c>
      <c r="BS138" t="s">
        <v>2231</v>
      </c>
      <c r="BT138" t="str">
        <f>HYPERLINK("https%3A%2F%2Fwww.webofscience.com%2Fwos%2Fwoscc%2Ffull-record%2FWOS:000238944500005","View Full Record in Web of Science")</f>
        <v>View Full Record in Web of Science</v>
      </c>
    </row>
    <row r="139" spans="1:72" x14ac:dyDescent="0.15">
      <c r="A139" t="s">
        <v>72</v>
      </c>
      <c r="B139" t="s">
        <v>2232</v>
      </c>
      <c r="C139" t="s">
        <v>74</v>
      </c>
      <c r="D139" t="s">
        <v>74</v>
      </c>
      <c r="E139" t="s">
        <v>74</v>
      </c>
      <c r="F139" t="s">
        <v>2233</v>
      </c>
      <c r="G139" t="s">
        <v>74</v>
      </c>
      <c r="H139" t="s">
        <v>74</v>
      </c>
      <c r="I139" t="s">
        <v>2234</v>
      </c>
      <c r="J139" t="s">
        <v>2157</v>
      </c>
      <c r="K139" t="s">
        <v>74</v>
      </c>
      <c r="L139" t="s">
        <v>74</v>
      </c>
      <c r="M139" t="s">
        <v>78</v>
      </c>
      <c r="N139" t="s">
        <v>1226</v>
      </c>
      <c r="O139" t="s">
        <v>2175</v>
      </c>
      <c r="P139" t="s">
        <v>2176</v>
      </c>
      <c r="Q139" t="s">
        <v>2177</v>
      </c>
      <c r="R139" t="s">
        <v>74</v>
      </c>
      <c r="S139" t="s">
        <v>74</v>
      </c>
      <c r="T139" t="s">
        <v>2235</v>
      </c>
      <c r="U139" t="s">
        <v>2236</v>
      </c>
      <c r="V139" t="s">
        <v>2237</v>
      </c>
      <c r="W139" t="s">
        <v>2238</v>
      </c>
      <c r="X139" t="s">
        <v>2239</v>
      </c>
      <c r="Y139" t="s">
        <v>2240</v>
      </c>
      <c r="Z139" t="s">
        <v>2241</v>
      </c>
      <c r="AA139" t="s">
        <v>74</v>
      </c>
      <c r="AB139" t="s">
        <v>74</v>
      </c>
      <c r="AC139" t="s">
        <v>74</v>
      </c>
      <c r="AD139" t="s">
        <v>74</v>
      </c>
      <c r="AE139" t="s">
        <v>74</v>
      </c>
      <c r="AF139" t="s">
        <v>74</v>
      </c>
      <c r="AG139">
        <v>70</v>
      </c>
      <c r="AH139">
        <v>88</v>
      </c>
      <c r="AI139">
        <v>105</v>
      </c>
      <c r="AJ139">
        <v>1</v>
      </c>
      <c r="AK139">
        <v>32</v>
      </c>
      <c r="AL139" t="s">
        <v>2185</v>
      </c>
      <c r="AM139" t="s">
        <v>557</v>
      </c>
      <c r="AN139" t="s">
        <v>2165</v>
      </c>
      <c r="AO139" t="s">
        <v>2166</v>
      </c>
      <c r="AP139" t="s">
        <v>2186</v>
      </c>
      <c r="AQ139" t="s">
        <v>74</v>
      </c>
      <c r="AR139" t="s">
        <v>2167</v>
      </c>
      <c r="AS139" t="s">
        <v>2168</v>
      </c>
      <c r="AT139" t="s">
        <v>2134</v>
      </c>
      <c r="AU139">
        <v>2006</v>
      </c>
      <c r="AV139">
        <v>364</v>
      </c>
      <c r="AW139">
        <v>1844</v>
      </c>
      <c r="AX139" t="s">
        <v>74</v>
      </c>
      <c r="AY139" t="s">
        <v>74</v>
      </c>
      <c r="AZ139" t="s">
        <v>74</v>
      </c>
      <c r="BA139" t="s">
        <v>74</v>
      </c>
      <c r="BB139">
        <v>1657</v>
      </c>
      <c r="BC139">
        <v>1681</v>
      </c>
      <c r="BD139" t="s">
        <v>74</v>
      </c>
      <c r="BE139" t="s">
        <v>2242</v>
      </c>
      <c r="BF139" t="str">
        <f>HYPERLINK("http://dx.doi.org/10.1098/rsta.2006.1794","http://dx.doi.org/10.1098/rsta.2006.1794")</f>
        <v>http://dx.doi.org/10.1098/rsta.2006.1794</v>
      </c>
      <c r="BG139" t="s">
        <v>74</v>
      </c>
      <c r="BH139" t="s">
        <v>74</v>
      </c>
      <c r="BI139">
        <v>25</v>
      </c>
      <c r="BJ139" t="s">
        <v>1841</v>
      </c>
      <c r="BK139" t="s">
        <v>668</v>
      </c>
      <c r="BL139" t="s">
        <v>1842</v>
      </c>
      <c r="BM139" t="s">
        <v>2170</v>
      </c>
      <c r="BN139">
        <v>16782605</v>
      </c>
      <c r="BO139" t="s">
        <v>74</v>
      </c>
      <c r="BP139" t="s">
        <v>74</v>
      </c>
      <c r="BQ139" t="s">
        <v>74</v>
      </c>
      <c r="BR139" t="s">
        <v>100</v>
      </c>
      <c r="BS139" t="s">
        <v>2243</v>
      </c>
      <c r="BT139" t="str">
        <f>HYPERLINK("https%3A%2F%2Fwww.webofscience.com%2Fwos%2Fwoscc%2Ffull-record%2FWOS:000238944500006","View Full Record in Web of Science")</f>
        <v>View Full Record in Web of Science</v>
      </c>
    </row>
    <row r="140" spans="1:72" x14ac:dyDescent="0.15">
      <c r="A140" t="s">
        <v>72</v>
      </c>
      <c r="B140" t="s">
        <v>2244</v>
      </c>
      <c r="C140" t="s">
        <v>74</v>
      </c>
      <c r="D140" t="s">
        <v>74</v>
      </c>
      <c r="E140" t="s">
        <v>74</v>
      </c>
      <c r="F140" t="s">
        <v>2245</v>
      </c>
      <c r="G140" t="s">
        <v>74</v>
      </c>
      <c r="H140" t="s">
        <v>74</v>
      </c>
      <c r="I140" t="s">
        <v>2246</v>
      </c>
      <c r="J140" t="s">
        <v>2157</v>
      </c>
      <c r="K140" t="s">
        <v>74</v>
      </c>
      <c r="L140" t="s">
        <v>74</v>
      </c>
      <c r="M140" t="s">
        <v>78</v>
      </c>
      <c r="N140" t="s">
        <v>1226</v>
      </c>
      <c r="O140" t="s">
        <v>2175</v>
      </c>
      <c r="P140" t="s">
        <v>2176</v>
      </c>
      <c r="Q140" t="s">
        <v>2177</v>
      </c>
      <c r="R140" t="s">
        <v>74</v>
      </c>
      <c r="S140" t="s">
        <v>74</v>
      </c>
      <c r="T140" t="s">
        <v>2247</v>
      </c>
      <c r="U140" t="s">
        <v>2248</v>
      </c>
      <c r="V140" t="s">
        <v>2249</v>
      </c>
      <c r="W140" t="s">
        <v>2250</v>
      </c>
      <c r="X140" t="s">
        <v>2251</v>
      </c>
      <c r="Y140" t="s">
        <v>2252</v>
      </c>
      <c r="Z140" t="s">
        <v>2253</v>
      </c>
      <c r="AA140" t="s">
        <v>2254</v>
      </c>
      <c r="AB140" t="s">
        <v>2255</v>
      </c>
      <c r="AC140" t="s">
        <v>74</v>
      </c>
      <c r="AD140" t="s">
        <v>74</v>
      </c>
      <c r="AE140" t="s">
        <v>74</v>
      </c>
      <c r="AF140" t="s">
        <v>74</v>
      </c>
      <c r="AG140">
        <v>57</v>
      </c>
      <c r="AH140">
        <v>75</v>
      </c>
      <c r="AI140">
        <v>83</v>
      </c>
      <c r="AJ140">
        <v>0</v>
      </c>
      <c r="AK140">
        <v>12</v>
      </c>
      <c r="AL140" t="s">
        <v>2185</v>
      </c>
      <c r="AM140" t="s">
        <v>557</v>
      </c>
      <c r="AN140" t="s">
        <v>2165</v>
      </c>
      <c r="AO140" t="s">
        <v>2166</v>
      </c>
      <c r="AP140" t="s">
        <v>74</v>
      </c>
      <c r="AQ140" t="s">
        <v>74</v>
      </c>
      <c r="AR140" t="s">
        <v>2167</v>
      </c>
      <c r="AS140" t="s">
        <v>2168</v>
      </c>
      <c r="AT140" t="s">
        <v>2134</v>
      </c>
      <c r="AU140">
        <v>2006</v>
      </c>
      <c r="AV140">
        <v>364</v>
      </c>
      <c r="AW140">
        <v>1844</v>
      </c>
      <c r="AX140" t="s">
        <v>74</v>
      </c>
      <c r="AY140" t="s">
        <v>74</v>
      </c>
      <c r="AZ140" t="s">
        <v>74</v>
      </c>
      <c r="BA140" t="s">
        <v>74</v>
      </c>
      <c r="BB140">
        <v>1683</v>
      </c>
      <c r="BC140">
        <v>1708</v>
      </c>
      <c r="BD140" t="s">
        <v>74</v>
      </c>
      <c r="BE140" t="s">
        <v>2256</v>
      </c>
      <c r="BF140" t="str">
        <f>HYPERLINK("http://dx.doi.org/10.1098/rsta.2006.1795","http://dx.doi.org/10.1098/rsta.2006.1795")</f>
        <v>http://dx.doi.org/10.1098/rsta.2006.1795</v>
      </c>
      <c r="BG140" t="s">
        <v>74</v>
      </c>
      <c r="BH140" t="s">
        <v>74</v>
      </c>
      <c r="BI140">
        <v>26</v>
      </c>
      <c r="BJ140" t="s">
        <v>1841</v>
      </c>
      <c r="BK140" t="s">
        <v>668</v>
      </c>
      <c r="BL140" t="s">
        <v>1842</v>
      </c>
      <c r="BM140" t="s">
        <v>2170</v>
      </c>
      <c r="BN140">
        <v>16782606</v>
      </c>
      <c r="BO140" t="s">
        <v>74</v>
      </c>
      <c r="BP140" t="s">
        <v>74</v>
      </c>
      <c r="BQ140" t="s">
        <v>74</v>
      </c>
      <c r="BR140" t="s">
        <v>100</v>
      </c>
      <c r="BS140" t="s">
        <v>2257</v>
      </c>
      <c r="BT140" t="str">
        <f>HYPERLINK("https%3A%2F%2Fwww.webofscience.com%2Fwos%2Fwoscc%2Ffull-record%2FWOS:000238944500007","View Full Record in Web of Science")</f>
        <v>View Full Record in Web of Science</v>
      </c>
    </row>
    <row r="141" spans="1:72" x14ac:dyDescent="0.15">
      <c r="A141" t="s">
        <v>72</v>
      </c>
      <c r="B141" t="s">
        <v>2258</v>
      </c>
      <c r="C141" t="s">
        <v>74</v>
      </c>
      <c r="D141" t="s">
        <v>74</v>
      </c>
      <c r="E141" t="s">
        <v>74</v>
      </c>
      <c r="F141" t="s">
        <v>2259</v>
      </c>
      <c r="G141" t="s">
        <v>74</v>
      </c>
      <c r="H141" t="s">
        <v>74</v>
      </c>
      <c r="I141" t="s">
        <v>2260</v>
      </c>
      <c r="J141" t="s">
        <v>2157</v>
      </c>
      <c r="K141" t="s">
        <v>74</v>
      </c>
      <c r="L141" t="s">
        <v>74</v>
      </c>
      <c r="M141" t="s">
        <v>78</v>
      </c>
      <c r="N141" t="s">
        <v>1226</v>
      </c>
      <c r="O141" t="s">
        <v>2175</v>
      </c>
      <c r="P141" t="s">
        <v>2176</v>
      </c>
      <c r="Q141" t="s">
        <v>2177</v>
      </c>
      <c r="R141" t="s">
        <v>74</v>
      </c>
      <c r="S141" t="s">
        <v>74</v>
      </c>
      <c r="T141" t="s">
        <v>2261</v>
      </c>
      <c r="U141" t="s">
        <v>2262</v>
      </c>
      <c r="V141" t="s">
        <v>2263</v>
      </c>
      <c r="W141" t="s">
        <v>2264</v>
      </c>
      <c r="X141" t="s">
        <v>2265</v>
      </c>
      <c r="Y141" t="s">
        <v>2266</v>
      </c>
      <c r="Z141" t="s">
        <v>2267</v>
      </c>
      <c r="AA141" t="s">
        <v>2268</v>
      </c>
      <c r="AB141" t="s">
        <v>2269</v>
      </c>
      <c r="AC141" t="s">
        <v>74</v>
      </c>
      <c r="AD141" t="s">
        <v>74</v>
      </c>
      <c r="AE141" t="s">
        <v>74</v>
      </c>
      <c r="AF141" t="s">
        <v>74</v>
      </c>
      <c r="AG141">
        <v>39</v>
      </c>
      <c r="AH141">
        <v>149</v>
      </c>
      <c r="AI141">
        <v>169</v>
      </c>
      <c r="AJ141">
        <v>1</v>
      </c>
      <c r="AK141">
        <v>54</v>
      </c>
      <c r="AL141" t="s">
        <v>2185</v>
      </c>
      <c r="AM141" t="s">
        <v>557</v>
      </c>
      <c r="AN141" t="s">
        <v>2165</v>
      </c>
      <c r="AO141" t="s">
        <v>2166</v>
      </c>
      <c r="AP141" t="s">
        <v>2186</v>
      </c>
      <c r="AQ141" t="s">
        <v>74</v>
      </c>
      <c r="AR141" t="s">
        <v>2167</v>
      </c>
      <c r="AS141" t="s">
        <v>2168</v>
      </c>
      <c r="AT141" t="s">
        <v>2134</v>
      </c>
      <c r="AU141">
        <v>2006</v>
      </c>
      <c r="AV141">
        <v>364</v>
      </c>
      <c r="AW141">
        <v>1844</v>
      </c>
      <c r="AX141" t="s">
        <v>74</v>
      </c>
      <c r="AY141" t="s">
        <v>74</v>
      </c>
      <c r="AZ141" t="s">
        <v>74</v>
      </c>
      <c r="BA141" t="s">
        <v>74</v>
      </c>
      <c r="BB141">
        <v>1709</v>
      </c>
      <c r="BC141">
        <v>1731</v>
      </c>
      <c r="BD141" t="s">
        <v>74</v>
      </c>
      <c r="BE141" t="s">
        <v>2270</v>
      </c>
      <c r="BF141" t="str">
        <f>HYPERLINK("http://dx.doi.org/10.1098/rsta.2006.1796","http://dx.doi.org/10.1098/rsta.2006.1796")</f>
        <v>http://dx.doi.org/10.1098/rsta.2006.1796</v>
      </c>
      <c r="BG141" t="s">
        <v>74</v>
      </c>
      <c r="BH141" t="s">
        <v>74</v>
      </c>
      <c r="BI141">
        <v>23</v>
      </c>
      <c r="BJ141" t="s">
        <v>1841</v>
      </c>
      <c r="BK141" t="s">
        <v>668</v>
      </c>
      <c r="BL141" t="s">
        <v>1842</v>
      </c>
      <c r="BM141" t="s">
        <v>2170</v>
      </c>
      <c r="BN141">
        <v>16782607</v>
      </c>
      <c r="BO141" t="s">
        <v>147</v>
      </c>
      <c r="BP141" t="s">
        <v>74</v>
      </c>
      <c r="BQ141" t="s">
        <v>74</v>
      </c>
      <c r="BR141" t="s">
        <v>100</v>
      </c>
      <c r="BS141" t="s">
        <v>2271</v>
      </c>
      <c r="BT141" t="str">
        <f>HYPERLINK("https%3A%2F%2Fwww.webofscience.com%2Fwos%2Fwoscc%2Ffull-record%2FWOS:000238944500008","View Full Record in Web of Science")</f>
        <v>View Full Record in Web of Science</v>
      </c>
    </row>
    <row r="142" spans="1:72" x14ac:dyDescent="0.15">
      <c r="A142" t="s">
        <v>72</v>
      </c>
      <c r="B142" t="s">
        <v>2272</v>
      </c>
      <c r="C142" t="s">
        <v>74</v>
      </c>
      <c r="D142" t="s">
        <v>74</v>
      </c>
      <c r="E142" t="s">
        <v>74</v>
      </c>
      <c r="F142" t="s">
        <v>2273</v>
      </c>
      <c r="G142" t="s">
        <v>74</v>
      </c>
      <c r="H142" t="s">
        <v>74</v>
      </c>
      <c r="I142" t="s">
        <v>2274</v>
      </c>
      <c r="J142" t="s">
        <v>2157</v>
      </c>
      <c r="K142" t="s">
        <v>74</v>
      </c>
      <c r="L142" t="s">
        <v>74</v>
      </c>
      <c r="M142" t="s">
        <v>78</v>
      </c>
      <c r="N142" t="s">
        <v>1226</v>
      </c>
      <c r="O142" t="s">
        <v>2175</v>
      </c>
      <c r="P142" t="s">
        <v>2176</v>
      </c>
      <c r="Q142" t="s">
        <v>2177</v>
      </c>
      <c r="R142" t="s">
        <v>74</v>
      </c>
      <c r="S142" t="s">
        <v>74</v>
      </c>
      <c r="T142" t="s">
        <v>2275</v>
      </c>
      <c r="U142" t="s">
        <v>2276</v>
      </c>
      <c r="V142" t="s">
        <v>2277</v>
      </c>
      <c r="W142" t="s">
        <v>2278</v>
      </c>
      <c r="X142" t="s">
        <v>407</v>
      </c>
      <c r="Y142" t="s">
        <v>2279</v>
      </c>
      <c r="Z142" t="s">
        <v>2280</v>
      </c>
      <c r="AA142" t="s">
        <v>2281</v>
      </c>
      <c r="AB142" t="s">
        <v>2282</v>
      </c>
      <c r="AC142" t="s">
        <v>2283</v>
      </c>
      <c r="AD142" t="s">
        <v>413</v>
      </c>
      <c r="AE142" t="s">
        <v>74</v>
      </c>
      <c r="AF142" t="s">
        <v>74</v>
      </c>
      <c r="AG142">
        <v>51</v>
      </c>
      <c r="AH142">
        <v>62</v>
      </c>
      <c r="AI142">
        <v>65</v>
      </c>
      <c r="AJ142">
        <v>0</v>
      </c>
      <c r="AK142">
        <v>7</v>
      </c>
      <c r="AL142" t="s">
        <v>2185</v>
      </c>
      <c r="AM142" t="s">
        <v>557</v>
      </c>
      <c r="AN142" t="s">
        <v>2165</v>
      </c>
      <c r="AO142" t="s">
        <v>2166</v>
      </c>
      <c r="AP142" t="s">
        <v>2186</v>
      </c>
      <c r="AQ142" t="s">
        <v>74</v>
      </c>
      <c r="AR142" t="s">
        <v>2167</v>
      </c>
      <c r="AS142" t="s">
        <v>2168</v>
      </c>
      <c r="AT142" t="s">
        <v>2134</v>
      </c>
      <c r="AU142">
        <v>2006</v>
      </c>
      <c r="AV142">
        <v>364</v>
      </c>
      <c r="AW142">
        <v>1844</v>
      </c>
      <c r="AX142" t="s">
        <v>74</v>
      </c>
      <c r="AY142" t="s">
        <v>74</v>
      </c>
      <c r="AZ142" t="s">
        <v>74</v>
      </c>
      <c r="BA142" t="s">
        <v>74</v>
      </c>
      <c r="BB142">
        <v>1733</v>
      </c>
      <c r="BC142">
        <v>1767</v>
      </c>
      <c r="BD142" t="s">
        <v>74</v>
      </c>
      <c r="BE142" t="s">
        <v>2284</v>
      </c>
      <c r="BF142" t="str">
        <f>HYPERLINK("http://dx.doi.org/10.1098/rsta.2006.1797","http://dx.doi.org/10.1098/rsta.2006.1797")</f>
        <v>http://dx.doi.org/10.1098/rsta.2006.1797</v>
      </c>
      <c r="BG142" t="s">
        <v>74</v>
      </c>
      <c r="BH142" t="s">
        <v>74</v>
      </c>
      <c r="BI142">
        <v>35</v>
      </c>
      <c r="BJ142" t="s">
        <v>1841</v>
      </c>
      <c r="BK142" t="s">
        <v>668</v>
      </c>
      <c r="BL142" t="s">
        <v>1842</v>
      </c>
      <c r="BM142" t="s">
        <v>2170</v>
      </c>
      <c r="BN142">
        <v>16782608</v>
      </c>
      <c r="BO142" t="s">
        <v>74</v>
      </c>
      <c r="BP142" t="s">
        <v>74</v>
      </c>
      <c r="BQ142" t="s">
        <v>74</v>
      </c>
      <c r="BR142" t="s">
        <v>100</v>
      </c>
      <c r="BS142" t="s">
        <v>2285</v>
      </c>
      <c r="BT142" t="str">
        <f>HYPERLINK("https%3A%2F%2Fwww.webofscience.com%2Fwos%2Fwoscc%2Ffull-record%2FWOS:000238944500009","View Full Record in Web of Science")</f>
        <v>View Full Record in Web of Science</v>
      </c>
    </row>
    <row r="143" spans="1:72" x14ac:dyDescent="0.15">
      <c r="A143" t="s">
        <v>72</v>
      </c>
      <c r="B143" t="s">
        <v>2286</v>
      </c>
      <c r="C143" t="s">
        <v>74</v>
      </c>
      <c r="D143" t="s">
        <v>74</v>
      </c>
      <c r="E143" t="s">
        <v>74</v>
      </c>
      <c r="F143" t="s">
        <v>2287</v>
      </c>
      <c r="G143" t="s">
        <v>74</v>
      </c>
      <c r="H143" t="s">
        <v>74</v>
      </c>
      <c r="I143" t="s">
        <v>2288</v>
      </c>
      <c r="J143" t="s">
        <v>2157</v>
      </c>
      <c r="K143" t="s">
        <v>74</v>
      </c>
      <c r="L143" t="s">
        <v>74</v>
      </c>
      <c r="M143" t="s">
        <v>78</v>
      </c>
      <c r="N143" t="s">
        <v>1226</v>
      </c>
      <c r="O143" t="s">
        <v>2175</v>
      </c>
      <c r="P143" t="s">
        <v>2176</v>
      </c>
      <c r="Q143" t="s">
        <v>2177</v>
      </c>
      <c r="R143" t="s">
        <v>74</v>
      </c>
      <c r="S143" t="s">
        <v>74</v>
      </c>
      <c r="T143" t="s">
        <v>2289</v>
      </c>
      <c r="U143" t="s">
        <v>2290</v>
      </c>
      <c r="V143" t="s">
        <v>2291</v>
      </c>
      <c r="W143" t="s">
        <v>2292</v>
      </c>
      <c r="X143" t="s">
        <v>2293</v>
      </c>
      <c r="Y143" t="s">
        <v>2294</v>
      </c>
      <c r="Z143" t="s">
        <v>2295</v>
      </c>
      <c r="AA143" t="s">
        <v>2296</v>
      </c>
      <c r="AB143" t="s">
        <v>2297</v>
      </c>
      <c r="AC143" t="s">
        <v>74</v>
      </c>
      <c r="AD143" t="s">
        <v>74</v>
      </c>
      <c r="AE143" t="s">
        <v>74</v>
      </c>
      <c r="AF143" t="s">
        <v>74</v>
      </c>
      <c r="AG143">
        <v>67</v>
      </c>
      <c r="AH143">
        <v>86</v>
      </c>
      <c r="AI143">
        <v>93</v>
      </c>
      <c r="AJ143">
        <v>0</v>
      </c>
      <c r="AK143">
        <v>43</v>
      </c>
      <c r="AL143" t="s">
        <v>2185</v>
      </c>
      <c r="AM143" t="s">
        <v>557</v>
      </c>
      <c r="AN143" t="s">
        <v>2165</v>
      </c>
      <c r="AO143" t="s">
        <v>2166</v>
      </c>
      <c r="AP143" t="s">
        <v>2186</v>
      </c>
      <c r="AQ143" t="s">
        <v>74</v>
      </c>
      <c r="AR143" t="s">
        <v>2167</v>
      </c>
      <c r="AS143" t="s">
        <v>2168</v>
      </c>
      <c r="AT143" t="s">
        <v>2134</v>
      </c>
      <c r="AU143">
        <v>2006</v>
      </c>
      <c r="AV143">
        <v>364</v>
      </c>
      <c r="AW143">
        <v>1844</v>
      </c>
      <c r="AX143" t="s">
        <v>74</v>
      </c>
      <c r="AY143" t="s">
        <v>74</v>
      </c>
      <c r="AZ143" t="s">
        <v>74</v>
      </c>
      <c r="BA143" t="s">
        <v>74</v>
      </c>
      <c r="BB143">
        <v>1769</v>
      </c>
      <c r="BC143">
        <v>1794</v>
      </c>
      <c r="BD143" t="s">
        <v>74</v>
      </c>
      <c r="BE143" t="s">
        <v>2298</v>
      </c>
      <c r="BF143" t="str">
        <f>HYPERLINK("http://dx.doi.org/10.1098/rsta.2006.1798","http://dx.doi.org/10.1098/rsta.2006.1798")</f>
        <v>http://dx.doi.org/10.1098/rsta.2006.1798</v>
      </c>
      <c r="BG143" t="s">
        <v>74</v>
      </c>
      <c r="BH143" t="s">
        <v>74</v>
      </c>
      <c r="BI143">
        <v>26</v>
      </c>
      <c r="BJ143" t="s">
        <v>1841</v>
      </c>
      <c r="BK143" t="s">
        <v>668</v>
      </c>
      <c r="BL143" t="s">
        <v>1842</v>
      </c>
      <c r="BM143" t="s">
        <v>2170</v>
      </c>
      <c r="BN143">
        <v>16782609</v>
      </c>
      <c r="BO143" t="s">
        <v>147</v>
      </c>
      <c r="BP143" t="s">
        <v>74</v>
      </c>
      <c r="BQ143" t="s">
        <v>74</v>
      </c>
      <c r="BR143" t="s">
        <v>100</v>
      </c>
      <c r="BS143" t="s">
        <v>2299</v>
      </c>
      <c r="BT143" t="str">
        <f>HYPERLINK("https%3A%2F%2Fwww.webofscience.com%2Fwos%2Fwoscc%2Ffull-record%2FWOS:000238944500010","View Full Record in Web of Science")</f>
        <v>View Full Record in Web of Science</v>
      </c>
    </row>
    <row r="144" spans="1:72" x14ac:dyDescent="0.15">
      <c r="A144" t="s">
        <v>72</v>
      </c>
      <c r="B144" t="s">
        <v>2300</v>
      </c>
      <c r="C144" t="s">
        <v>74</v>
      </c>
      <c r="D144" t="s">
        <v>74</v>
      </c>
      <c r="E144" t="s">
        <v>74</v>
      </c>
      <c r="F144" t="s">
        <v>2301</v>
      </c>
      <c r="G144" t="s">
        <v>74</v>
      </c>
      <c r="H144" t="s">
        <v>74</v>
      </c>
      <c r="I144" t="s">
        <v>2302</v>
      </c>
      <c r="J144" t="s">
        <v>2157</v>
      </c>
      <c r="K144" t="s">
        <v>74</v>
      </c>
      <c r="L144" t="s">
        <v>74</v>
      </c>
      <c r="M144" t="s">
        <v>78</v>
      </c>
      <c r="N144" t="s">
        <v>1226</v>
      </c>
      <c r="O144" t="s">
        <v>2175</v>
      </c>
      <c r="P144" t="s">
        <v>2176</v>
      </c>
      <c r="Q144" t="s">
        <v>2177</v>
      </c>
      <c r="R144" t="s">
        <v>74</v>
      </c>
      <c r="S144" t="s">
        <v>74</v>
      </c>
      <c r="T144" t="s">
        <v>2303</v>
      </c>
      <c r="U144" t="s">
        <v>2304</v>
      </c>
      <c r="V144" t="s">
        <v>2305</v>
      </c>
      <c r="W144" t="s">
        <v>2306</v>
      </c>
      <c r="X144" t="s">
        <v>2307</v>
      </c>
      <c r="Y144" t="s">
        <v>2308</v>
      </c>
      <c r="Z144" t="s">
        <v>2309</v>
      </c>
      <c r="AA144" t="s">
        <v>2310</v>
      </c>
      <c r="AB144" t="s">
        <v>2311</v>
      </c>
      <c r="AC144" t="s">
        <v>74</v>
      </c>
      <c r="AD144" t="s">
        <v>74</v>
      </c>
      <c r="AE144" t="s">
        <v>74</v>
      </c>
      <c r="AF144" t="s">
        <v>74</v>
      </c>
      <c r="AG144">
        <v>53</v>
      </c>
      <c r="AH144">
        <v>58</v>
      </c>
      <c r="AI144">
        <v>64</v>
      </c>
      <c r="AJ144">
        <v>0</v>
      </c>
      <c r="AK144">
        <v>45</v>
      </c>
      <c r="AL144" t="s">
        <v>2185</v>
      </c>
      <c r="AM144" t="s">
        <v>557</v>
      </c>
      <c r="AN144" t="s">
        <v>2165</v>
      </c>
      <c r="AO144" t="s">
        <v>2166</v>
      </c>
      <c r="AP144" t="s">
        <v>2186</v>
      </c>
      <c r="AQ144" t="s">
        <v>74</v>
      </c>
      <c r="AR144" t="s">
        <v>2167</v>
      </c>
      <c r="AS144" t="s">
        <v>2168</v>
      </c>
      <c r="AT144" t="s">
        <v>2134</v>
      </c>
      <c r="AU144">
        <v>2006</v>
      </c>
      <c r="AV144">
        <v>364</v>
      </c>
      <c r="AW144">
        <v>1844</v>
      </c>
      <c r="AX144" t="s">
        <v>74</v>
      </c>
      <c r="AY144" t="s">
        <v>74</v>
      </c>
      <c r="AZ144" t="s">
        <v>74</v>
      </c>
      <c r="BA144" t="s">
        <v>74</v>
      </c>
      <c r="BB144">
        <v>1795</v>
      </c>
      <c r="BC144">
        <v>1814</v>
      </c>
      <c r="BD144" t="s">
        <v>74</v>
      </c>
      <c r="BE144" t="s">
        <v>2312</v>
      </c>
      <c r="BF144" t="str">
        <f>HYPERLINK("http://dx.doi.org/10.1098/rsta.2006.1799","http://dx.doi.org/10.1098/rsta.2006.1799")</f>
        <v>http://dx.doi.org/10.1098/rsta.2006.1799</v>
      </c>
      <c r="BG144" t="s">
        <v>74</v>
      </c>
      <c r="BH144" t="s">
        <v>74</v>
      </c>
      <c r="BI144">
        <v>20</v>
      </c>
      <c r="BJ144" t="s">
        <v>1841</v>
      </c>
      <c r="BK144" t="s">
        <v>668</v>
      </c>
      <c r="BL144" t="s">
        <v>1842</v>
      </c>
      <c r="BM144" t="s">
        <v>2170</v>
      </c>
      <c r="BN144">
        <v>16782610</v>
      </c>
      <c r="BO144" t="s">
        <v>74</v>
      </c>
      <c r="BP144" t="s">
        <v>74</v>
      </c>
      <c r="BQ144" t="s">
        <v>74</v>
      </c>
      <c r="BR144" t="s">
        <v>100</v>
      </c>
      <c r="BS144" t="s">
        <v>2313</v>
      </c>
      <c r="BT144" t="str">
        <f>HYPERLINK("https%3A%2F%2Fwww.webofscience.com%2Fwos%2Fwoscc%2Ffull-record%2FWOS:000238944500011","View Full Record in Web of Science")</f>
        <v>View Full Record in Web of Science</v>
      </c>
    </row>
    <row r="145" spans="1:72" x14ac:dyDescent="0.15">
      <c r="A145" t="s">
        <v>72</v>
      </c>
      <c r="B145" t="s">
        <v>2314</v>
      </c>
      <c r="C145" t="s">
        <v>74</v>
      </c>
      <c r="D145" t="s">
        <v>74</v>
      </c>
      <c r="E145" t="s">
        <v>74</v>
      </c>
      <c r="F145" t="s">
        <v>2315</v>
      </c>
      <c r="G145" t="s">
        <v>74</v>
      </c>
      <c r="H145" t="s">
        <v>74</v>
      </c>
      <c r="I145" t="s">
        <v>2316</v>
      </c>
      <c r="J145" t="s">
        <v>2157</v>
      </c>
      <c r="K145" t="s">
        <v>74</v>
      </c>
      <c r="L145" t="s">
        <v>74</v>
      </c>
      <c r="M145" t="s">
        <v>78</v>
      </c>
      <c r="N145" t="s">
        <v>1226</v>
      </c>
      <c r="O145" t="s">
        <v>2175</v>
      </c>
      <c r="P145" t="s">
        <v>2176</v>
      </c>
      <c r="Q145" t="s">
        <v>2177</v>
      </c>
      <c r="R145" t="s">
        <v>74</v>
      </c>
      <c r="S145" t="s">
        <v>74</v>
      </c>
      <c r="T145" t="s">
        <v>2317</v>
      </c>
      <c r="U145" t="s">
        <v>2318</v>
      </c>
      <c r="V145" t="s">
        <v>2319</v>
      </c>
      <c r="W145" t="s">
        <v>2320</v>
      </c>
      <c r="X145" t="s">
        <v>2321</v>
      </c>
      <c r="Y145" t="s">
        <v>2322</v>
      </c>
      <c r="Z145" t="s">
        <v>2323</v>
      </c>
      <c r="AA145" t="s">
        <v>2324</v>
      </c>
      <c r="AB145" t="s">
        <v>2325</v>
      </c>
      <c r="AC145" t="s">
        <v>74</v>
      </c>
      <c r="AD145" t="s">
        <v>74</v>
      </c>
      <c r="AE145" t="s">
        <v>74</v>
      </c>
      <c r="AF145" t="s">
        <v>74</v>
      </c>
      <c r="AG145">
        <v>36</v>
      </c>
      <c r="AH145">
        <v>47</v>
      </c>
      <c r="AI145">
        <v>48</v>
      </c>
      <c r="AJ145">
        <v>0</v>
      </c>
      <c r="AK145">
        <v>14</v>
      </c>
      <c r="AL145" t="s">
        <v>2185</v>
      </c>
      <c r="AM145" t="s">
        <v>557</v>
      </c>
      <c r="AN145" t="s">
        <v>2165</v>
      </c>
      <c r="AO145" t="s">
        <v>2166</v>
      </c>
      <c r="AP145" t="s">
        <v>2186</v>
      </c>
      <c r="AQ145" t="s">
        <v>74</v>
      </c>
      <c r="AR145" t="s">
        <v>2167</v>
      </c>
      <c r="AS145" t="s">
        <v>2168</v>
      </c>
      <c r="AT145" t="s">
        <v>2134</v>
      </c>
      <c r="AU145">
        <v>2006</v>
      </c>
      <c r="AV145">
        <v>364</v>
      </c>
      <c r="AW145">
        <v>1844</v>
      </c>
      <c r="AX145" t="s">
        <v>74</v>
      </c>
      <c r="AY145" t="s">
        <v>74</v>
      </c>
      <c r="AZ145" t="s">
        <v>74</v>
      </c>
      <c r="BA145" t="s">
        <v>74</v>
      </c>
      <c r="BB145">
        <v>1815</v>
      </c>
      <c r="BC145">
        <v>1839</v>
      </c>
      <c r="BD145" t="s">
        <v>74</v>
      </c>
      <c r="BE145" t="s">
        <v>2326</v>
      </c>
      <c r="BF145" t="str">
        <f>HYPERLINK("http://dx.doi.org/10.1098/rsta.2006.1800","http://dx.doi.org/10.1098/rsta.2006.1800")</f>
        <v>http://dx.doi.org/10.1098/rsta.2006.1800</v>
      </c>
      <c r="BG145" t="s">
        <v>74</v>
      </c>
      <c r="BH145" t="s">
        <v>74</v>
      </c>
      <c r="BI145">
        <v>25</v>
      </c>
      <c r="BJ145" t="s">
        <v>1841</v>
      </c>
      <c r="BK145" t="s">
        <v>668</v>
      </c>
      <c r="BL145" t="s">
        <v>1842</v>
      </c>
      <c r="BM145" t="s">
        <v>2170</v>
      </c>
      <c r="BN145">
        <v>16782611</v>
      </c>
      <c r="BO145" t="s">
        <v>74</v>
      </c>
      <c r="BP145" t="s">
        <v>74</v>
      </c>
      <c r="BQ145" t="s">
        <v>74</v>
      </c>
      <c r="BR145" t="s">
        <v>100</v>
      </c>
      <c r="BS145" t="s">
        <v>2327</v>
      </c>
      <c r="BT145" t="str">
        <f>HYPERLINK("https%3A%2F%2Fwww.webofscience.com%2Fwos%2Fwoscc%2Ffull-record%2FWOS:000238944500012","View Full Record in Web of Science")</f>
        <v>View Full Record in Web of Science</v>
      </c>
    </row>
    <row r="146" spans="1:72" x14ac:dyDescent="0.15">
      <c r="A146" t="s">
        <v>72</v>
      </c>
      <c r="B146" t="s">
        <v>2328</v>
      </c>
      <c r="C146" t="s">
        <v>74</v>
      </c>
      <c r="D146" t="s">
        <v>74</v>
      </c>
      <c r="E146" t="s">
        <v>74</v>
      </c>
      <c r="F146" t="s">
        <v>2329</v>
      </c>
      <c r="G146" t="s">
        <v>74</v>
      </c>
      <c r="H146" t="s">
        <v>74</v>
      </c>
      <c r="I146" t="s">
        <v>2330</v>
      </c>
      <c r="J146" t="s">
        <v>2157</v>
      </c>
      <c r="K146" t="s">
        <v>74</v>
      </c>
      <c r="L146" t="s">
        <v>74</v>
      </c>
      <c r="M146" t="s">
        <v>78</v>
      </c>
      <c r="N146" t="s">
        <v>1226</v>
      </c>
      <c r="O146" t="s">
        <v>2175</v>
      </c>
      <c r="P146" t="s">
        <v>2176</v>
      </c>
      <c r="Q146" t="s">
        <v>2177</v>
      </c>
      <c r="R146" t="s">
        <v>74</v>
      </c>
      <c r="S146" t="s">
        <v>74</v>
      </c>
      <c r="T146" t="s">
        <v>2331</v>
      </c>
      <c r="U146" t="s">
        <v>2332</v>
      </c>
      <c r="V146" t="s">
        <v>2333</v>
      </c>
      <c r="W146" t="s">
        <v>2334</v>
      </c>
      <c r="X146" t="s">
        <v>407</v>
      </c>
      <c r="Y146" t="s">
        <v>2335</v>
      </c>
      <c r="Z146" t="s">
        <v>2336</v>
      </c>
      <c r="AA146" t="s">
        <v>2281</v>
      </c>
      <c r="AB146" t="s">
        <v>2282</v>
      </c>
      <c r="AC146" t="s">
        <v>2337</v>
      </c>
      <c r="AD146" t="s">
        <v>1328</v>
      </c>
      <c r="AE146" t="s">
        <v>74</v>
      </c>
      <c r="AF146" t="s">
        <v>74</v>
      </c>
      <c r="AG146">
        <v>52</v>
      </c>
      <c r="AH146">
        <v>11</v>
      </c>
      <c r="AI146">
        <v>12</v>
      </c>
      <c r="AJ146">
        <v>0</v>
      </c>
      <c r="AK146">
        <v>7</v>
      </c>
      <c r="AL146" t="s">
        <v>2185</v>
      </c>
      <c r="AM146" t="s">
        <v>557</v>
      </c>
      <c r="AN146" t="s">
        <v>2165</v>
      </c>
      <c r="AO146" t="s">
        <v>2166</v>
      </c>
      <c r="AP146" t="s">
        <v>2186</v>
      </c>
      <c r="AQ146" t="s">
        <v>74</v>
      </c>
      <c r="AR146" t="s">
        <v>2167</v>
      </c>
      <c r="AS146" t="s">
        <v>2168</v>
      </c>
      <c r="AT146" t="s">
        <v>2134</v>
      </c>
      <c r="AU146">
        <v>2006</v>
      </c>
      <c r="AV146">
        <v>364</v>
      </c>
      <c r="AW146">
        <v>1844</v>
      </c>
      <c r="AX146" t="s">
        <v>74</v>
      </c>
      <c r="AY146" t="s">
        <v>74</v>
      </c>
      <c r="AZ146" t="s">
        <v>74</v>
      </c>
      <c r="BA146" t="s">
        <v>74</v>
      </c>
      <c r="BB146">
        <v>1841</v>
      </c>
      <c r="BC146">
        <v>1865</v>
      </c>
      <c r="BD146" t="s">
        <v>74</v>
      </c>
      <c r="BE146" t="s">
        <v>2338</v>
      </c>
      <c r="BF146" t="str">
        <f>HYPERLINK("http://dx.doi.org/10.1098/rsta.2006.1801","http://dx.doi.org/10.1098/rsta.2006.1801")</f>
        <v>http://dx.doi.org/10.1098/rsta.2006.1801</v>
      </c>
      <c r="BG146" t="s">
        <v>74</v>
      </c>
      <c r="BH146" t="s">
        <v>74</v>
      </c>
      <c r="BI146">
        <v>25</v>
      </c>
      <c r="BJ146" t="s">
        <v>1841</v>
      </c>
      <c r="BK146" t="s">
        <v>668</v>
      </c>
      <c r="BL146" t="s">
        <v>1842</v>
      </c>
      <c r="BM146" t="s">
        <v>2170</v>
      </c>
      <c r="BN146">
        <v>16782612</v>
      </c>
      <c r="BO146" t="s">
        <v>74</v>
      </c>
      <c r="BP146" t="s">
        <v>74</v>
      </c>
      <c r="BQ146" t="s">
        <v>74</v>
      </c>
      <c r="BR146" t="s">
        <v>100</v>
      </c>
      <c r="BS146" t="s">
        <v>2339</v>
      </c>
      <c r="BT146" t="str">
        <f>HYPERLINK("https%3A%2F%2Fwww.webofscience.com%2Fwos%2Fwoscc%2Ffull-record%2FWOS:000238944500013","View Full Record in Web of Science")</f>
        <v>View Full Record in Web of Science</v>
      </c>
    </row>
    <row r="147" spans="1:72" x14ac:dyDescent="0.15">
      <c r="A147" t="s">
        <v>72</v>
      </c>
      <c r="B147" t="s">
        <v>2340</v>
      </c>
      <c r="C147" t="s">
        <v>74</v>
      </c>
      <c r="D147" t="s">
        <v>74</v>
      </c>
      <c r="E147" t="s">
        <v>74</v>
      </c>
      <c r="F147" t="s">
        <v>2341</v>
      </c>
      <c r="G147" t="s">
        <v>74</v>
      </c>
      <c r="H147" t="s">
        <v>74</v>
      </c>
      <c r="I147" t="s">
        <v>2342</v>
      </c>
      <c r="J147" t="s">
        <v>2157</v>
      </c>
      <c r="K147" t="s">
        <v>74</v>
      </c>
      <c r="L147" t="s">
        <v>74</v>
      </c>
      <c r="M147" t="s">
        <v>78</v>
      </c>
      <c r="N147" t="s">
        <v>1226</v>
      </c>
      <c r="O147" t="s">
        <v>2175</v>
      </c>
      <c r="P147" t="s">
        <v>2176</v>
      </c>
      <c r="Q147" t="s">
        <v>2177</v>
      </c>
      <c r="R147" t="s">
        <v>74</v>
      </c>
      <c r="S147" t="s">
        <v>74</v>
      </c>
      <c r="T147" t="s">
        <v>2343</v>
      </c>
      <c r="U147" t="s">
        <v>2344</v>
      </c>
      <c r="V147" t="s">
        <v>2345</v>
      </c>
      <c r="W147" t="s">
        <v>2346</v>
      </c>
      <c r="X147" t="s">
        <v>2347</v>
      </c>
      <c r="Y147" t="s">
        <v>2348</v>
      </c>
      <c r="Z147" t="s">
        <v>2161</v>
      </c>
      <c r="AA147" t="s">
        <v>2162</v>
      </c>
      <c r="AB147" t="s">
        <v>2163</v>
      </c>
      <c r="AC147" t="s">
        <v>74</v>
      </c>
      <c r="AD147" t="s">
        <v>74</v>
      </c>
      <c r="AE147" t="s">
        <v>74</v>
      </c>
      <c r="AF147" t="s">
        <v>74</v>
      </c>
      <c r="AG147">
        <v>26</v>
      </c>
      <c r="AH147">
        <v>3</v>
      </c>
      <c r="AI147">
        <v>3</v>
      </c>
      <c r="AJ147">
        <v>0</v>
      </c>
      <c r="AK147">
        <v>5</v>
      </c>
      <c r="AL147" t="s">
        <v>2185</v>
      </c>
      <c r="AM147" t="s">
        <v>557</v>
      </c>
      <c r="AN147" t="s">
        <v>2165</v>
      </c>
      <c r="AO147" t="s">
        <v>2166</v>
      </c>
      <c r="AP147" t="s">
        <v>2186</v>
      </c>
      <c r="AQ147" t="s">
        <v>74</v>
      </c>
      <c r="AR147" t="s">
        <v>2167</v>
      </c>
      <c r="AS147" t="s">
        <v>2168</v>
      </c>
      <c r="AT147" t="s">
        <v>2134</v>
      </c>
      <c r="AU147">
        <v>2006</v>
      </c>
      <c r="AV147">
        <v>364</v>
      </c>
      <c r="AW147">
        <v>1844</v>
      </c>
      <c r="AX147" t="s">
        <v>74</v>
      </c>
      <c r="AY147" t="s">
        <v>74</v>
      </c>
      <c r="AZ147" t="s">
        <v>74</v>
      </c>
      <c r="BA147" t="s">
        <v>74</v>
      </c>
      <c r="BB147">
        <v>1867</v>
      </c>
      <c r="BC147">
        <v>1872</v>
      </c>
      <c r="BD147" t="s">
        <v>74</v>
      </c>
      <c r="BE147" t="s">
        <v>2349</v>
      </c>
      <c r="BF147" t="str">
        <f>HYPERLINK("http://dx.doi.org/10.1098/rsta.2006.1802","http://dx.doi.org/10.1098/rsta.2006.1802")</f>
        <v>http://dx.doi.org/10.1098/rsta.2006.1802</v>
      </c>
      <c r="BG147" t="s">
        <v>74</v>
      </c>
      <c r="BH147" t="s">
        <v>74</v>
      </c>
      <c r="BI147">
        <v>6</v>
      </c>
      <c r="BJ147" t="s">
        <v>1841</v>
      </c>
      <c r="BK147" t="s">
        <v>668</v>
      </c>
      <c r="BL147" t="s">
        <v>1842</v>
      </c>
      <c r="BM147" t="s">
        <v>2170</v>
      </c>
      <c r="BN147">
        <v>16782613</v>
      </c>
      <c r="BO147" t="s">
        <v>74</v>
      </c>
      <c r="BP147" t="s">
        <v>74</v>
      </c>
      <c r="BQ147" t="s">
        <v>74</v>
      </c>
      <c r="BR147" t="s">
        <v>100</v>
      </c>
      <c r="BS147" t="s">
        <v>2350</v>
      </c>
      <c r="BT147" t="str">
        <f>HYPERLINK("https%3A%2F%2Fwww.webofscience.com%2Fwos%2Fwoscc%2Ffull-record%2FWOS:000238944500014","View Full Record in Web of Science")</f>
        <v>View Full Record in Web of Science</v>
      </c>
    </row>
    <row r="148" spans="1:72" x14ac:dyDescent="0.15">
      <c r="A148" t="s">
        <v>72</v>
      </c>
      <c r="B148" t="s">
        <v>2351</v>
      </c>
      <c r="C148" t="s">
        <v>74</v>
      </c>
      <c r="D148" t="s">
        <v>74</v>
      </c>
      <c r="E148" t="s">
        <v>74</v>
      </c>
      <c r="F148" t="s">
        <v>2352</v>
      </c>
      <c r="G148" t="s">
        <v>74</v>
      </c>
      <c r="H148" t="s">
        <v>74</v>
      </c>
      <c r="I148" t="s">
        <v>2353</v>
      </c>
      <c r="J148" t="s">
        <v>2354</v>
      </c>
      <c r="K148" t="s">
        <v>74</v>
      </c>
      <c r="L148" t="s">
        <v>74</v>
      </c>
      <c r="M148" t="s">
        <v>78</v>
      </c>
      <c r="N148" t="s">
        <v>79</v>
      </c>
      <c r="O148" t="s">
        <v>74</v>
      </c>
      <c r="P148" t="s">
        <v>74</v>
      </c>
      <c r="Q148" t="s">
        <v>74</v>
      </c>
      <c r="R148" t="s">
        <v>74</v>
      </c>
      <c r="S148" t="s">
        <v>74</v>
      </c>
      <c r="T148" t="s">
        <v>74</v>
      </c>
      <c r="U148" t="s">
        <v>2355</v>
      </c>
      <c r="V148" t="s">
        <v>2356</v>
      </c>
      <c r="W148" t="s">
        <v>2357</v>
      </c>
      <c r="X148" t="s">
        <v>2358</v>
      </c>
      <c r="Y148" t="s">
        <v>2359</v>
      </c>
      <c r="Z148" t="s">
        <v>2360</v>
      </c>
      <c r="AA148" t="s">
        <v>2361</v>
      </c>
      <c r="AB148" t="s">
        <v>2362</v>
      </c>
      <c r="AC148" t="s">
        <v>74</v>
      </c>
      <c r="AD148" t="s">
        <v>74</v>
      </c>
      <c r="AE148" t="s">
        <v>74</v>
      </c>
      <c r="AF148" t="s">
        <v>74</v>
      </c>
      <c r="AG148">
        <v>31</v>
      </c>
      <c r="AH148">
        <v>46</v>
      </c>
      <c r="AI148">
        <v>55</v>
      </c>
      <c r="AJ148">
        <v>0</v>
      </c>
      <c r="AK148">
        <v>7</v>
      </c>
      <c r="AL148" t="s">
        <v>1757</v>
      </c>
      <c r="AM148" t="s">
        <v>88</v>
      </c>
      <c r="AN148" t="s">
        <v>1758</v>
      </c>
      <c r="AO148" t="s">
        <v>2363</v>
      </c>
      <c r="AP148" t="s">
        <v>2364</v>
      </c>
      <c r="AQ148" t="s">
        <v>74</v>
      </c>
      <c r="AR148" t="s">
        <v>2365</v>
      </c>
      <c r="AS148" t="s">
        <v>2366</v>
      </c>
      <c r="AT148" t="s">
        <v>2367</v>
      </c>
      <c r="AU148">
        <v>2006</v>
      </c>
      <c r="AV148">
        <v>111</v>
      </c>
      <c r="AW148" t="s">
        <v>2368</v>
      </c>
      <c r="AX148" t="s">
        <v>74</v>
      </c>
      <c r="AY148" t="s">
        <v>74</v>
      </c>
      <c r="AZ148" t="s">
        <v>74</v>
      </c>
      <c r="BA148" t="s">
        <v>74</v>
      </c>
      <c r="BB148" t="s">
        <v>74</v>
      </c>
      <c r="BC148" t="s">
        <v>74</v>
      </c>
      <c r="BD148" t="s">
        <v>2369</v>
      </c>
      <c r="BE148" t="s">
        <v>2370</v>
      </c>
      <c r="BF148" t="str">
        <f>HYPERLINK("http://dx.doi.org/10.1029/2005JC003408","http://dx.doi.org/10.1029/2005JC003408")</f>
        <v>http://dx.doi.org/10.1029/2005JC003408</v>
      </c>
      <c r="BG148" t="s">
        <v>74</v>
      </c>
      <c r="BH148" t="s">
        <v>74</v>
      </c>
      <c r="BI148">
        <v>14</v>
      </c>
      <c r="BJ148" t="s">
        <v>1069</v>
      </c>
      <c r="BK148" t="s">
        <v>97</v>
      </c>
      <c r="BL148" t="s">
        <v>1069</v>
      </c>
      <c r="BM148" t="s">
        <v>2371</v>
      </c>
      <c r="BN148" t="s">
        <v>74</v>
      </c>
      <c r="BO148" t="s">
        <v>74</v>
      </c>
      <c r="BP148" t="s">
        <v>74</v>
      </c>
      <c r="BQ148" t="s">
        <v>74</v>
      </c>
      <c r="BR148" t="s">
        <v>100</v>
      </c>
      <c r="BS148" t="s">
        <v>2372</v>
      </c>
      <c r="BT148" t="str">
        <f>HYPERLINK("https%3A%2F%2Fwww.webofscience.com%2Fwos%2Fwoscc%2Ffull-record%2FWOS:000239218300002","View Full Record in Web of Science")</f>
        <v>View Full Record in Web of Science</v>
      </c>
    </row>
    <row r="149" spans="1:72" x14ac:dyDescent="0.15">
      <c r="A149" t="s">
        <v>72</v>
      </c>
      <c r="B149" t="s">
        <v>2373</v>
      </c>
      <c r="C149" t="s">
        <v>74</v>
      </c>
      <c r="D149" t="s">
        <v>74</v>
      </c>
      <c r="E149" t="s">
        <v>74</v>
      </c>
      <c r="F149" t="s">
        <v>2374</v>
      </c>
      <c r="G149" t="s">
        <v>74</v>
      </c>
      <c r="H149" t="s">
        <v>74</v>
      </c>
      <c r="I149" t="s">
        <v>2375</v>
      </c>
      <c r="J149" t="s">
        <v>1943</v>
      </c>
      <c r="K149" t="s">
        <v>74</v>
      </c>
      <c r="L149" t="s">
        <v>74</v>
      </c>
      <c r="M149" t="s">
        <v>78</v>
      </c>
      <c r="N149" t="s">
        <v>79</v>
      </c>
      <c r="O149" t="s">
        <v>74</v>
      </c>
      <c r="P149" t="s">
        <v>74</v>
      </c>
      <c r="Q149" t="s">
        <v>74</v>
      </c>
      <c r="R149" t="s">
        <v>74</v>
      </c>
      <c r="S149" t="s">
        <v>74</v>
      </c>
      <c r="T149" t="s">
        <v>74</v>
      </c>
      <c r="U149" t="s">
        <v>2376</v>
      </c>
      <c r="V149" t="s">
        <v>2377</v>
      </c>
      <c r="W149" t="s">
        <v>2378</v>
      </c>
      <c r="X149" t="s">
        <v>2379</v>
      </c>
      <c r="Y149" t="s">
        <v>2380</v>
      </c>
      <c r="Z149" t="s">
        <v>2381</v>
      </c>
      <c r="AA149" t="s">
        <v>2382</v>
      </c>
      <c r="AB149" t="s">
        <v>2383</v>
      </c>
      <c r="AC149" t="s">
        <v>74</v>
      </c>
      <c r="AD149" t="s">
        <v>74</v>
      </c>
      <c r="AE149" t="s">
        <v>74</v>
      </c>
      <c r="AF149" t="s">
        <v>74</v>
      </c>
      <c r="AG149">
        <v>68</v>
      </c>
      <c r="AH149">
        <v>41</v>
      </c>
      <c r="AI149">
        <v>42</v>
      </c>
      <c r="AJ149">
        <v>0</v>
      </c>
      <c r="AK149">
        <v>23</v>
      </c>
      <c r="AL149" t="s">
        <v>1757</v>
      </c>
      <c r="AM149" t="s">
        <v>88</v>
      </c>
      <c r="AN149" t="s">
        <v>1758</v>
      </c>
      <c r="AO149" t="s">
        <v>1950</v>
      </c>
      <c r="AP149" t="s">
        <v>1951</v>
      </c>
      <c r="AQ149" t="s">
        <v>74</v>
      </c>
      <c r="AR149" t="s">
        <v>1943</v>
      </c>
      <c r="AS149" t="s">
        <v>1952</v>
      </c>
      <c r="AT149" t="s">
        <v>2367</v>
      </c>
      <c r="AU149">
        <v>2006</v>
      </c>
      <c r="AV149">
        <v>21</v>
      </c>
      <c r="AW149">
        <v>3</v>
      </c>
      <c r="AX149" t="s">
        <v>74</v>
      </c>
      <c r="AY149" t="s">
        <v>74</v>
      </c>
      <c r="AZ149" t="s">
        <v>74</v>
      </c>
      <c r="BA149" t="s">
        <v>74</v>
      </c>
      <c r="BB149" t="s">
        <v>74</v>
      </c>
      <c r="BC149" t="s">
        <v>74</v>
      </c>
      <c r="BD149" t="s">
        <v>2384</v>
      </c>
      <c r="BE149" t="s">
        <v>2385</v>
      </c>
      <c r="BF149" t="str">
        <f>HYPERLINK("http://dx.doi.org/10.1029/2005PA001258","http://dx.doi.org/10.1029/2005PA001258")</f>
        <v>http://dx.doi.org/10.1029/2005PA001258</v>
      </c>
      <c r="BG149" t="s">
        <v>74</v>
      </c>
      <c r="BH149" t="s">
        <v>74</v>
      </c>
      <c r="BI149">
        <v>11</v>
      </c>
      <c r="BJ149" t="s">
        <v>1955</v>
      </c>
      <c r="BK149" t="s">
        <v>97</v>
      </c>
      <c r="BL149" t="s">
        <v>1956</v>
      </c>
      <c r="BM149" t="s">
        <v>2386</v>
      </c>
      <c r="BN149" t="s">
        <v>74</v>
      </c>
      <c r="BO149" t="s">
        <v>74</v>
      </c>
      <c r="BP149" t="s">
        <v>74</v>
      </c>
      <c r="BQ149" t="s">
        <v>74</v>
      </c>
      <c r="BR149" t="s">
        <v>100</v>
      </c>
      <c r="BS149" t="s">
        <v>2387</v>
      </c>
      <c r="BT149" t="str">
        <f>HYPERLINK("https%3A%2F%2Fwww.webofscience.com%2Fwos%2Fwoscc%2Ffull-record%2FWOS:000239220400001","View Full Record in Web of Science")</f>
        <v>View Full Record in Web of Science</v>
      </c>
    </row>
    <row r="150" spans="1:72" x14ac:dyDescent="0.15">
      <c r="A150" t="s">
        <v>72</v>
      </c>
      <c r="B150" t="s">
        <v>2388</v>
      </c>
      <c r="C150" t="s">
        <v>74</v>
      </c>
      <c r="D150" t="s">
        <v>74</v>
      </c>
      <c r="E150" t="s">
        <v>74</v>
      </c>
      <c r="F150" t="s">
        <v>2388</v>
      </c>
      <c r="G150" t="s">
        <v>74</v>
      </c>
      <c r="H150" t="s">
        <v>74</v>
      </c>
      <c r="I150" t="s">
        <v>2389</v>
      </c>
      <c r="J150" t="s">
        <v>2390</v>
      </c>
      <c r="K150" t="s">
        <v>74</v>
      </c>
      <c r="L150" t="s">
        <v>74</v>
      </c>
      <c r="M150" t="s">
        <v>78</v>
      </c>
      <c r="N150" t="s">
        <v>79</v>
      </c>
      <c r="O150" t="s">
        <v>74</v>
      </c>
      <c r="P150" t="s">
        <v>74</v>
      </c>
      <c r="Q150" t="s">
        <v>74</v>
      </c>
      <c r="R150" t="s">
        <v>74</v>
      </c>
      <c r="S150" t="s">
        <v>74</v>
      </c>
      <c r="T150" t="s">
        <v>2391</v>
      </c>
      <c r="U150" t="s">
        <v>2392</v>
      </c>
      <c r="V150" t="s">
        <v>2393</v>
      </c>
      <c r="W150" t="s">
        <v>2394</v>
      </c>
      <c r="X150" t="s">
        <v>2395</v>
      </c>
      <c r="Y150" t="s">
        <v>2396</v>
      </c>
      <c r="Z150" t="s">
        <v>2397</v>
      </c>
      <c r="AA150" t="s">
        <v>2398</v>
      </c>
      <c r="AB150" t="s">
        <v>2399</v>
      </c>
      <c r="AC150" t="s">
        <v>74</v>
      </c>
      <c r="AD150" t="s">
        <v>74</v>
      </c>
      <c r="AE150" t="s">
        <v>74</v>
      </c>
      <c r="AF150" t="s">
        <v>74</v>
      </c>
      <c r="AG150">
        <v>30</v>
      </c>
      <c r="AH150">
        <v>9</v>
      </c>
      <c r="AI150">
        <v>9</v>
      </c>
      <c r="AJ150">
        <v>0</v>
      </c>
      <c r="AK150">
        <v>6</v>
      </c>
      <c r="AL150" t="s">
        <v>1261</v>
      </c>
      <c r="AM150" t="s">
        <v>520</v>
      </c>
      <c r="AN150" t="s">
        <v>1262</v>
      </c>
      <c r="AO150" t="s">
        <v>2400</v>
      </c>
      <c r="AP150" t="s">
        <v>74</v>
      </c>
      <c r="AQ150" t="s">
        <v>74</v>
      </c>
      <c r="AR150" t="s">
        <v>2401</v>
      </c>
      <c r="AS150" t="s">
        <v>2402</v>
      </c>
      <c r="AT150" t="s">
        <v>2367</v>
      </c>
      <c r="AU150">
        <v>2006</v>
      </c>
      <c r="AV150">
        <v>156</v>
      </c>
      <c r="AW150" t="s">
        <v>1243</v>
      </c>
      <c r="AX150" t="s">
        <v>74</v>
      </c>
      <c r="AY150" t="s">
        <v>74</v>
      </c>
      <c r="AZ150" t="s">
        <v>74</v>
      </c>
      <c r="BA150" t="s">
        <v>74</v>
      </c>
      <c r="BB150">
        <v>213</v>
      </c>
      <c r="BC150">
        <v>222</v>
      </c>
      <c r="BD150" t="s">
        <v>74</v>
      </c>
      <c r="BE150" t="s">
        <v>2403</v>
      </c>
      <c r="BF150" t="str">
        <f>HYPERLINK("http://dx.doi.org/10.1016/j.pepi.2005.09.015","http://dx.doi.org/10.1016/j.pepi.2005.09.015")</f>
        <v>http://dx.doi.org/10.1016/j.pepi.2005.09.015</v>
      </c>
      <c r="BG150" t="s">
        <v>74</v>
      </c>
      <c r="BH150" t="s">
        <v>74</v>
      </c>
      <c r="BI150">
        <v>10</v>
      </c>
      <c r="BJ150" t="s">
        <v>608</v>
      </c>
      <c r="BK150" t="s">
        <v>97</v>
      </c>
      <c r="BL150" t="s">
        <v>608</v>
      </c>
      <c r="BM150" t="s">
        <v>2404</v>
      </c>
      <c r="BN150" t="s">
        <v>74</v>
      </c>
      <c r="BO150" t="s">
        <v>74</v>
      </c>
      <c r="BP150" t="s">
        <v>74</v>
      </c>
      <c r="BQ150" t="s">
        <v>74</v>
      </c>
      <c r="BR150" t="s">
        <v>100</v>
      </c>
      <c r="BS150" t="s">
        <v>2405</v>
      </c>
      <c r="BT150" t="str">
        <f>HYPERLINK("https%3A%2F%2Fwww.webofscience.com%2Fwos%2Fwoscc%2Ffull-record%2FWOS:000238782300006","View Full Record in Web of Science")</f>
        <v>View Full Record in Web of Science</v>
      </c>
    </row>
    <row r="151" spans="1:72" x14ac:dyDescent="0.15">
      <c r="A151" t="s">
        <v>72</v>
      </c>
      <c r="B151" t="s">
        <v>2406</v>
      </c>
      <c r="C151" t="s">
        <v>74</v>
      </c>
      <c r="D151" t="s">
        <v>74</v>
      </c>
      <c r="E151" t="s">
        <v>74</v>
      </c>
      <c r="F151" t="s">
        <v>2406</v>
      </c>
      <c r="G151" t="s">
        <v>74</v>
      </c>
      <c r="H151" t="s">
        <v>74</v>
      </c>
      <c r="I151" t="s">
        <v>2407</v>
      </c>
      <c r="J151" t="s">
        <v>2390</v>
      </c>
      <c r="K151" t="s">
        <v>74</v>
      </c>
      <c r="L151" t="s">
        <v>74</v>
      </c>
      <c r="M151" t="s">
        <v>78</v>
      </c>
      <c r="N151" t="s">
        <v>79</v>
      </c>
      <c r="O151" t="s">
        <v>74</v>
      </c>
      <c r="P151" t="s">
        <v>74</v>
      </c>
      <c r="Q151" t="s">
        <v>74</v>
      </c>
      <c r="R151" t="s">
        <v>74</v>
      </c>
      <c r="S151" t="s">
        <v>74</v>
      </c>
      <c r="T151" t="s">
        <v>2408</v>
      </c>
      <c r="U151" t="s">
        <v>2409</v>
      </c>
      <c r="V151" t="s">
        <v>2410</v>
      </c>
      <c r="W151" t="s">
        <v>2411</v>
      </c>
      <c r="X151" t="s">
        <v>2412</v>
      </c>
      <c r="Y151" t="s">
        <v>2413</v>
      </c>
      <c r="Z151" t="s">
        <v>2414</v>
      </c>
      <c r="AA151" t="s">
        <v>74</v>
      </c>
      <c r="AB151" t="s">
        <v>2415</v>
      </c>
      <c r="AC151" t="s">
        <v>74</v>
      </c>
      <c r="AD151" t="s">
        <v>74</v>
      </c>
      <c r="AE151" t="s">
        <v>74</v>
      </c>
      <c r="AF151" t="s">
        <v>74</v>
      </c>
      <c r="AG151">
        <v>22</v>
      </c>
      <c r="AH151">
        <v>14</v>
      </c>
      <c r="AI151">
        <v>16</v>
      </c>
      <c r="AJ151">
        <v>0</v>
      </c>
      <c r="AK151">
        <v>6</v>
      </c>
      <c r="AL151" t="s">
        <v>1261</v>
      </c>
      <c r="AM151" t="s">
        <v>520</v>
      </c>
      <c r="AN151" t="s">
        <v>1262</v>
      </c>
      <c r="AO151" t="s">
        <v>2400</v>
      </c>
      <c r="AP151" t="s">
        <v>74</v>
      </c>
      <c r="AQ151" t="s">
        <v>74</v>
      </c>
      <c r="AR151" t="s">
        <v>2401</v>
      </c>
      <c r="AS151" t="s">
        <v>2402</v>
      </c>
      <c r="AT151" t="s">
        <v>2367</v>
      </c>
      <c r="AU151">
        <v>2006</v>
      </c>
      <c r="AV151">
        <v>156</v>
      </c>
      <c r="AW151" t="s">
        <v>1243</v>
      </c>
      <c r="AX151" t="s">
        <v>74</v>
      </c>
      <c r="AY151" t="s">
        <v>74</v>
      </c>
      <c r="AZ151" t="s">
        <v>74</v>
      </c>
      <c r="BA151" t="s">
        <v>74</v>
      </c>
      <c r="BB151">
        <v>274</v>
      </c>
      <c r="BC151">
        <v>282</v>
      </c>
      <c r="BD151" t="s">
        <v>74</v>
      </c>
      <c r="BE151" t="s">
        <v>2416</v>
      </c>
      <c r="BF151" t="str">
        <f>HYPERLINK("http://dx.doi.org/10.1016/j.pepi.2005.06.019","http://dx.doi.org/10.1016/j.pepi.2005.06.019")</f>
        <v>http://dx.doi.org/10.1016/j.pepi.2005.06.019</v>
      </c>
      <c r="BG151" t="s">
        <v>74</v>
      </c>
      <c r="BH151" t="s">
        <v>74</v>
      </c>
      <c r="BI151">
        <v>9</v>
      </c>
      <c r="BJ151" t="s">
        <v>608</v>
      </c>
      <c r="BK151" t="s">
        <v>97</v>
      </c>
      <c r="BL151" t="s">
        <v>608</v>
      </c>
      <c r="BM151" t="s">
        <v>2404</v>
      </c>
      <c r="BN151" t="s">
        <v>74</v>
      </c>
      <c r="BO151" t="s">
        <v>74</v>
      </c>
      <c r="BP151" t="s">
        <v>74</v>
      </c>
      <c r="BQ151" t="s">
        <v>74</v>
      </c>
      <c r="BR151" t="s">
        <v>100</v>
      </c>
      <c r="BS151" t="s">
        <v>2417</v>
      </c>
      <c r="BT151" t="str">
        <f>HYPERLINK("https%3A%2F%2Fwww.webofscience.com%2Fwos%2Fwoscc%2Ffull-record%2FWOS:000238782300010","View Full Record in Web of Science")</f>
        <v>View Full Record in Web of Science</v>
      </c>
    </row>
    <row r="152" spans="1:72" x14ac:dyDescent="0.15">
      <c r="A152" t="s">
        <v>72</v>
      </c>
      <c r="B152" t="s">
        <v>2418</v>
      </c>
      <c r="C152" t="s">
        <v>74</v>
      </c>
      <c r="D152" t="s">
        <v>74</v>
      </c>
      <c r="E152" t="s">
        <v>74</v>
      </c>
      <c r="F152" t="s">
        <v>2419</v>
      </c>
      <c r="G152" t="s">
        <v>74</v>
      </c>
      <c r="H152" t="s">
        <v>74</v>
      </c>
      <c r="I152" t="s">
        <v>2420</v>
      </c>
      <c r="J152" t="s">
        <v>1884</v>
      </c>
      <c r="K152" t="s">
        <v>74</v>
      </c>
      <c r="L152" t="s">
        <v>74</v>
      </c>
      <c r="M152" t="s">
        <v>78</v>
      </c>
      <c r="N152" t="s">
        <v>79</v>
      </c>
      <c r="O152" t="s">
        <v>74</v>
      </c>
      <c r="P152" t="s">
        <v>74</v>
      </c>
      <c r="Q152" t="s">
        <v>74</v>
      </c>
      <c r="R152" t="s">
        <v>74</v>
      </c>
      <c r="S152" t="s">
        <v>74</v>
      </c>
      <c r="T152" t="s">
        <v>74</v>
      </c>
      <c r="U152" t="s">
        <v>2421</v>
      </c>
      <c r="V152" t="s">
        <v>2422</v>
      </c>
      <c r="W152" t="s">
        <v>2423</v>
      </c>
      <c r="X152" t="s">
        <v>2424</v>
      </c>
      <c r="Y152" t="s">
        <v>2425</v>
      </c>
      <c r="Z152" t="s">
        <v>2426</v>
      </c>
      <c r="AA152" t="s">
        <v>2427</v>
      </c>
      <c r="AB152" t="s">
        <v>2428</v>
      </c>
      <c r="AC152" t="s">
        <v>74</v>
      </c>
      <c r="AD152" t="s">
        <v>74</v>
      </c>
      <c r="AE152" t="s">
        <v>74</v>
      </c>
      <c r="AF152" t="s">
        <v>74</v>
      </c>
      <c r="AG152">
        <v>83</v>
      </c>
      <c r="AH152">
        <v>37</v>
      </c>
      <c r="AI152">
        <v>40</v>
      </c>
      <c r="AJ152">
        <v>0</v>
      </c>
      <c r="AK152">
        <v>14</v>
      </c>
      <c r="AL152" t="s">
        <v>1893</v>
      </c>
      <c r="AM152" t="s">
        <v>1894</v>
      </c>
      <c r="AN152" t="s">
        <v>1895</v>
      </c>
      <c r="AO152" t="s">
        <v>1896</v>
      </c>
      <c r="AP152" t="s">
        <v>1897</v>
      </c>
      <c r="AQ152" t="s">
        <v>74</v>
      </c>
      <c r="AR152" t="s">
        <v>1898</v>
      </c>
      <c r="AS152" t="s">
        <v>1899</v>
      </c>
      <c r="AT152" t="s">
        <v>2429</v>
      </c>
      <c r="AU152">
        <v>2006</v>
      </c>
      <c r="AV152">
        <v>6</v>
      </c>
      <c r="AW152" t="s">
        <v>74</v>
      </c>
      <c r="AX152" t="s">
        <v>74</v>
      </c>
      <c r="AY152" t="s">
        <v>74</v>
      </c>
      <c r="AZ152" t="s">
        <v>74</v>
      </c>
      <c r="BA152" t="s">
        <v>74</v>
      </c>
      <c r="BB152">
        <v>2847</v>
      </c>
      <c r="BC152">
        <v>2863</v>
      </c>
      <c r="BD152" t="s">
        <v>74</v>
      </c>
      <c r="BE152" t="s">
        <v>2430</v>
      </c>
      <c r="BF152" t="str">
        <f>HYPERLINK("http://dx.doi.org/10.5194/acp-6-2847-2006","http://dx.doi.org/10.5194/acp-6-2847-2006")</f>
        <v>http://dx.doi.org/10.5194/acp-6-2847-2006</v>
      </c>
      <c r="BG152" t="s">
        <v>74</v>
      </c>
      <c r="BH152" t="s">
        <v>74</v>
      </c>
      <c r="BI152">
        <v>17</v>
      </c>
      <c r="BJ152" t="s">
        <v>395</v>
      </c>
      <c r="BK152" t="s">
        <v>97</v>
      </c>
      <c r="BL152" t="s">
        <v>396</v>
      </c>
      <c r="BM152" t="s">
        <v>2431</v>
      </c>
      <c r="BN152" t="s">
        <v>74</v>
      </c>
      <c r="BO152" t="s">
        <v>2432</v>
      </c>
      <c r="BP152" t="s">
        <v>74</v>
      </c>
      <c r="BQ152" t="s">
        <v>74</v>
      </c>
      <c r="BR152" t="s">
        <v>100</v>
      </c>
      <c r="BS152" t="s">
        <v>2433</v>
      </c>
      <c r="BT152" t="str">
        <f>HYPERLINK("https%3A%2F%2Fwww.webofscience.com%2Fwos%2Fwoscc%2Ffull-record%2FWOS:000238985900001","View Full Record in Web of Science")</f>
        <v>View Full Record in Web of Science</v>
      </c>
    </row>
    <row r="153" spans="1:72" x14ac:dyDescent="0.15">
      <c r="A153" t="s">
        <v>72</v>
      </c>
      <c r="B153" t="s">
        <v>2434</v>
      </c>
      <c r="C153" t="s">
        <v>74</v>
      </c>
      <c r="D153" t="s">
        <v>74</v>
      </c>
      <c r="E153" t="s">
        <v>74</v>
      </c>
      <c r="F153" t="s">
        <v>2435</v>
      </c>
      <c r="G153" t="s">
        <v>74</v>
      </c>
      <c r="H153" t="s">
        <v>74</v>
      </c>
      <c r="I153" t="s">
        <v>2436</v>
      </c>
      <c r="J153" t="s">
        <v>1884</v>
      </c>
      <c r="K153" t="s">
        <v>74</v>
      </c>
      <c r="L153" t="s">
        <v>74</v>
      </c>
      <c r="M153" t="s">
        <v>78</v>
      </c>
      <c r="N153" t="s">
        <v>79</v>
      </c>
      <c r="O153" t="s">
        <v>74</v>
      </c>
      <c r="P153" t="s">
        <v>74</v>
      </c>
      <c r="Q153" t="s">
        <v>74</v>
      </c>
      <c r="R153" t="s">
        <v>74</v>
      </c>
      <c r="S153" t="s">
        <v>74</v>
      </c>
      <c r="T153" t="s">
        <v>74</v>
      </c>
      <c r="U153" t="s">
        <v>2437</v>
      </c>
      <c r="V153" t="s">
        <v>2438</v>
      </c>
      <c r="W153" t="s">
        <v>2439</v>
      </c>
      <c r="X153" t="s">
        <v>2440</v>
      </c>
      <c r="Y153" t="s">
        <v>2441</v>
      </c>
      <c r="Z153" t="s">
        <v>2442</v>
      </c>
      <c r="AA153" t="s">
        <v>2443</v>
      </c>
      <c r="AB153" t="s">
        <v>74</v>
      </c>
      <c r="AC153" t="s">
        <v>74</v>
      </c>
      <c r="AD153" t="s">
        <v>74</v>
      </c>
      <c r="AE153" t="s">
        <v>74</v>
      </c>
      <c r="AF153" t="s">
        <v>74</v>
      </c>
      <c r="AG153">
        <v>33</v>
      </c>
      <c r="AH153">
        <v>25</v>
      </c>
      <c r="AI153">
        <v>28</v>
      </c>
      <c r="AJ153">
        <v>0</v>
      </c>
      <c r="AK153">
        <v>3</v>
      </c>
      <c r="AL153" t="s">
        <v>1970</v>
      </c>
      <c r="AM153" t="s">
        <v>1971</v>
      </c>
      <c r="AN153" t="s">
        <v>1972</v>
      </c>
      <c r="AO153" t="s">
        <v>1896</v>
      </c>
      <c r="AP153" t="s">
        <v>74</v>
      </c>
      <c r="AQ153" t="s">
        <v>74</v>
      </c>
      <c r="AR153" t="s">
        <v>1898</v>
      </c>
      <c r="AS153" t="s">
        <v>1899</v>
      </c>
      <c r="AT153" t="s">
        <v>2429</v>
      </c>
      <c r="AU153">
        <v>2006</v>
      </c>
      <c r="AV153">
        <v>6</v>
      </c>
      <c r="AW153" t="s">
        <v>74</v>
      </c>
      <c r="AX153" t="s">
        <v>74</v>
      </c>
      <c r="AY153" t="s">
        <v>74</v>
      </c>
      <c r="AZ153" t="s">
        <v>74</v>
      </c>
      <c r="BA153" t="s">
        <v>74</v>
      </c>
      <c r="BB153">
        <v>2895</v>
      </c>
      <c r="BC153">
        <v>2910</v>
      </c>
      <c r="BD153" t="s">
        <v>74</v>
      </c>
      <c r="BE153" t="s">
        <v>2444</v>
      </c>
      <c r="BF153" t="str">
        <f>HYPERLINK("http://dx.doi.org/10.5194/acp-6-2895-2006","http://dx.doi.org/10.5194/acp-6-2895-2006")</f>
        <v>http://dx.doi.org/10.5194/acp-6-2895-2006</v>
      </c>
      <c r="BG153" t="s">
        <v>74</v>
      </c>
      <c r="BH153" t="s">
        <v>74</v>
      </c>
      <c r="BI153">
        <v>16</v>
      </c>
      <c r="BJ153" t="s">
        <v>395</v>
      </c>
      <c r="BK153" t="s">
        <v>97</v>
      </c>
      <c r="BL153" t="s">
        <v>396</v>
      </c>
      <c r="BM153" t="s">
        <v>2431</v>
      </c>
      <c r="BN153" t="s">
        <v>74</v>
      </c>
      <c r="BO153" t="s">
        <v>2445</v>
      </c>
      <c r="BP153" t="s">
        <v>74</v>
      </c>
      <c r="BQ153" t="s">
        <v>74</v>
      </c>
      <c r="BR153" t="s">
        <v>100</v>
      </c>
      <c r="BS153" t="s">
        <v>2446</v>
      </c>
      <c r="BT153" t="str">
        <f>HYPERLINK("https%3A%2F%2Fwww.webofscience.com%2Fwos%2Fwoscc%2Ffull-record%2FWOS:000238985900004","View Full Record in Web of Science")</f>
        <v>View Full Record in Web of Science</v>
      </c>
    </row>
    <row r="154" spans="1:72" x14ac:dyDescent="0.15">
      <c r="A154" t="s">
        <v>72</v>
      </c>
      <c r="B154" t="s">
        <v>2447</v>
      </c>
      <c r="C154" t="s">
        <v>74</v>
      </c>
      <c r="D154" t="s">
        <v>74</v>
      </c>
      <c r="E154" t="s">
        <v>74</v>
      </c>
      <c r="F154" t="s">
        <v>2448</v>
      </c>
      <c r="G154" t="s">
        <v>74</v>
      </c>
      <c r="H154" t="s">
        <v>74</v>
      </c>
      <c r="I154" t="s">
        <v>2449</v>
      </c>
      <c r="J154" t="s">
        <v>2450</v>
      </c>
      <c r="K154" t="s">
        <v>74</v>
      </c>
      <c r="L154" t="s">
        <v>74</v>
      </c>
      <c r="M154" t="s">
        <v>78</v>
      </c>
      <c r="N154" t="s">
        <v>79</v>
      </c>
      <c r="O154" t="s">
        <v>74</v>
      </c>
      <c r="P154" t="s">
        <v>74</v>
      </c>
      <c r="Q154" t="s">
        <v>74</v>
      </c>
      <c r="R154" t="s">
        <v>74</v>
      </c>
      <c r="S154" t="s">
        <v>74</v>
      </c>
      <c r="T154" t="s">
        <v>2451</v>
      </c>
      <c r="U154" t="s">
        <v>2452</v>
      </c>
      <c r="V154" t="s">
        <v>2453</v>
      </c>
      <c r="W154" t="s">
        <v>2454</v>
      </c>
      <c r="X154" t="s">
        <v>2455</v>
      </c>
      <c r="Y154" t="s">
        <v>2456</v>
      </c>
      <c r="Z154" t="s">
        <v>2457</v>
      </c>
      <c r="AA154" t="s">
        <v>74</v>
      </c>
      <c r="AB154" t="s">
        <v>74</v>
      </c>
      <c r="AC154" t="s">
        <v>74</v>
      </c>
      <c r="AD154" t="s">
        <v>74</v>
      </c>
      <c r="AE154" t="s">
        <v>74</v>
      </c>
      <c r="AF154" t="s">
        <v>74</v>
      </c>
      <c r="AG154">
        <v>49</v>
      </c>
      <c r="AH154">
        <v>23</v>
      </c>
      <c r="AI154">
        <v>28</v>
      </c>
      <c r="AJ154">
        <v>0</v>
      </c>
      <c r="AK154">
        <v>5</v>
      </c>
      <c r="AL154" t="s">
        <v>2072</v>
      </c>
      <c r="AM154" t="s">
        <v>2073</v>
      </c>
      <c r="AN154" t="s">
        <v>2074</v>
      </c>
      <c r="AO154" t="s">
        <v>2458</v>
      </c>
      <c r="AP154" t="s">
        <v>2459</v>
      </c>
      <c r="AQ154" t="s">
        <v>74</v>
      </c>
      <c r="AR154" t="s">
        <v>2460</v>
      </c>
      <c r="AS154" t="s">
        <v>2461</v>
      </c>
      <c r="AT154" t="s">
        <v>2462</v>
      </c>
      <c r="AU154">
        <v>2006</v>
      </c>
      <c r="AV154">
        <v>71</v>
      </c>
      <c r="AW154">
        <v>1</v>
      </c>
      <c r="AX154" t="s">
        <v>74</v>
      </c>
      <c r="AY154" t="s">
        <v>74</v>
      </c>
      <c r="AZ154" t="s">
        <v>74</v>
      </c>
      <c r="BA154" t="s">
        <v>74</v>
      </c>
      <c r="BB154">
        <v>33</v>
      </c>
      <c r="BC154">
        <v>49</v>
      </c>
      <c r="BD154" t="s">
        <v>74</v>
      </c>
      <c r="BE154" t="s">
        <v>2463</v>
      </c>
      <c r="BF154" t="str">
        <f>HYPERLINK("http://dx.doi.org/10.3354/dao071033","http://dx.doi.org/10.3354/dao071033")</f>
        <v>http://dx.doi.org/10.3354/dao071033</v>
      </c>
      <c r="BG154" t="s">
        <v>74</v>
      </c>
      <c r="BH154" t="s">
        <v>74</v>
      </c>
      <c r="BI154">
        <v>17</v>
      </c>
      <c r="BJ154" t="s">
        <v>2464</v>
      </c>
      <c r="BK154" t="s">
        <v>97</v>
      </c>
      <c r="BL154" t="s">
        <v>2464</v>
      </c>
      <c r="BM154" t="s">
        <v>2465</v>
      </c>
      <c r="BN154">
        <v>16921999</v>
      </c>
      <c r="BO154" t="s">
        <v>460</v>
      </c>
      <c r="BP154" t="s">
        <v>74</v>
      </c>
      <c r="BQ154" t="s">
        <v>74</v>
      </c>
      <c r="BR154" t="s">
        <v>100</v>
      </c>
      <c r="BS154" t="s">
        <v>2466</v>
      </c>
      <c r="BT154" t="str">
        <f>HYPERLINK("https%3A%2F%2Fwww.webofscience.com%2Fwos%2Fwoscc%2Ffull-record%2FWOS:000240510300005","View Full Record in Web of Science")</f>
        <v>View Full Record in Web of Science</v>
      </c>
    </row>
    <row r="155" spans="1:72" x14ac:dyDescent="0.15">
      <c r="A155" t="s">
        <v>72</v>
      </c>
      <c r="B155" t="s">
        <v>2467</v>
      </c>
      <c r="C155" t="s">
        <v>74</v>
      </c>
      <c r="D155" t="s">
        <v>74</v>
      </c>
      <c r="E155" t="s">
        <v>74</v>
      </c>
      <c r="F155" t="s">
        <v>2468</v>
      </c>
      <c r="G155" t="s">
        <v>74</v>
      </c>
      <c r="H155" t="s">
        <v>74</v>
      </c>
      <c r="I155" t="s">
        <v>2469</v>
      </c>
      <c r="J155" t="s">
        <v>2470</v>
      </c>
      <c r="K155" t="s">
        <v>74</v>
      </c>
      <c r="L155" t="s">
        <v>74</v>
      </c>
      <c r="M155" t="s">
        <v>78</v>
      </c>
      <c r="N155" t="s">
        <v>79</v>
      </c>
      <c r="O155" t="s">
        <v>74</v>
      </c>
      <c r="P155" t="s">
        <v>74</v>
      </c>
      <c r="Q155" t="s">
        <v>74</v>
      </c>
      <c r="R155" t="s">
        <v>74</v>
      </c>
      <c r="S155" t="s">
        <v>74</v>
      </c>
      <c r="T155" t="s">
        <v>2471</v>
      </c>
      <c r="U155" t="s">
        <v>2472</v>
      </c>
      <c r="V155" t="s">
        <v>2473</v>
      </c>
      <c r="W155" t="s">
        <v>2474</v>
      </c>
      <c r="X155" t="s">
        <v>2475</v>
      </c>
      <c r="Y155" t="s">
        <v>2476</v>
      </c>
      <c r="Z155" t="s">
        <v>2477</v>
      </c>
      <c r="AA155" t="s">
        <v>74</v>
      </c>
      <c r="AB155" t="s">
        <v>74</v>
      </c>
      <c r="AC155" t="s">
        <v>74</v>
      </c>
      <c r="AD155" t="s">
        <v>74</v>
      </c>
      <c r="AE155" t="s">
        <v>74</v>
      </c>
      <c r="AF155" t="s">
        <v>74</v>
      </c>
      <c r="AG155">
        <v>27</v>
      </c>
      <c r="AH155">
        <v>17</v>
      </c>
      <c r="AI155">
        <v>21</v>
      </c>
      <c r="AJ155">
        <v>1</v>
      </c>
      <c r="AK155">
        <v>22</v>
      </c>
      <c r="AL155" t="s">
        <v>1261</v>
      </c>
      <c r="AM155" t="s">
        <v>520</v>
      </c>
      <c r="AN155" t="s">
        <v>1262</v>
      </c>
      <c r="AO155" t="s">
        <v>2478</v>
      </c>
      <c r="AP155" t="s">
        <v>2479</v>
      </c>
      <c r="AQ155" t="s">
        <v>74</v>
      </c>
      <c r="AR155" t="s">
        <v>2480</v>
      </c>
      <c r="AS155" t="s">
        <v>2481</v>
      </c>
      <c r="AT155" t="s">
        <v>2462</v>
      </c>
      <c r="AU155">
        <v>2006</v>
      </c>
      <c r="AV155">
        <v>334</v>
      </c>
      <c r="AW155">
        <v>2</v>
      </c>
      <c r="AX155" t="s">
        <v>74</v>
      </c>
      <c r="AY155" t="s">
        <v>74</v>
      </c>
      <c r="AZ155" t="s">
        <v>74</v>
      </c>
      <c r="BA155" t="s">
        <v>74</v>
      </c>
      <c r="BB155">
        <v>229</v>
      </c>
      <c r="BC155">
        <v>235</v>
      </c>
      <c r="BD155" t="s">
        <v>74</v>
      </c>
      <c r="BE155" t="s">
        <v>2482</v>
      </c>
      <c r="BF155" t="str">
        <f>HYPERLINK("http://dx.doi.org/10.1016/j.jembe.2006.02.009","http://dx.doi.org/10.1016/j.jembe.2006.02.009")</f>
        <v>http://dx.doi.org/10.1016/j.jembe.2006.02.009</v>
      </c>
      <c r="BG155" t="s">
        <v>74</v>
      </c>
      <c r="BH155" t="s">
        <v>74</v>
      </c>
      <c r="BI155">
        <v>7</v>
      </c>
      <c r="BJ155" t="s">
        <v>2483</v>
      </c>
      <c r="BK155" t="s">
        <v>97</v>
      </c>
      <c r="BL155" t="s">
        <v>1288</v>
      </c>
      <c r="BM155" t="s">
        <v>2484</v>
      </c>
      <c r="BN155" t="s">
        <v>74</v>
      </c>
      <c r="BO155" t="s">
        <v>74</v>
      </c>
      <c r="BP155" t="s">
        <v>74</v>
      </c>
      <c r="BQ155" t="s">
        <v>74</v>
      </c>
      <c r="BR155" t="s">
        <v>100</v>
      </c>
      <c r="BS155" t="s">
        <v>2485</v>
      </c>
      <c r="BT155" t="str">
        <f>HYPERLINK("https%3A%2F%2Fwww.webofscience.com%2Fwos%2Fwoscc%2Ffull-record%2FWOS:000238495300007","View Full Record in Web of Science")</f>
        <v>View Full Record in Web of Science</v>
      </c>
    </row>
    <row r="156" spans="1:72" x14ac:dyDescent="0.15">
      <c r="A156" t="s">
        <v>72</v>
      </c>
      <c r="B156" t="s">
        <v>2486</v>
      </c>
      <c r="C156" t="s">
        <v>74</v>
      </c>
      <c r="D156" t="s">
        <v>74</v>
      </c>
      <c r="E156" t="s">
        <v>74</v>
      </c>
      <c r="F156" t="s">
        <v>2487</v>
      </c>
      <c r="G156" t="s">
        <v>74</v>
      </c>
      <c r="H156" t="s">
        <v>74</v>
      </c>
      <c r="I156" t="s">
        <v>2488</v>
      </c>
      <c r="J156" t="s">
        <v>1772</v>
      </c>
      <c r="K156" t="s">
        <v>74</v>
      </c>
      <c r="L156" t="s">
        <v>74</v>
      </c>
      <c r="M156" t="s">
        <v>78</v>
      </c>
      <c r="N156" t="s">
        <v>79</v>
      </c>
      <c r="O156" t="s">
        <v>74</v>
      </c>
      <c r="P156" t="s">
        <v>74</v>
      </c>
      <c r="Q156" t="s">
        <v>74</v>
      </c>
      <c r="R156" t="s">
        <v>74</v>
      </c>
      <c r="S156" t="s">
        <v>74</v>
      </c>
      <c r="T156" t="s">
        <v>74</v>
      </c>
      <c r="U156" t="s">
        <v>2489</v>
      </c>
      <c r="V156" t="s">
        <v>2490</v>
      </c>
      <c r="W156" t="s">
        <v>2491</v>
      </c>
      <c r="X156" t="s">
        <v>2492</v>
      </c>
      <c r="Y156" t="s">
        <v>2493</v>
      </c>
      <c r="Z156" t="s">
        <v>74</v>
      </c>
      <c r="AA156" t="s">
        <v>2494</v>
      </c>
      <c r="AB156" t="s">
        <v>2495</v>
      </c>
      <c r="AC156" t="s">
        <v>74</v>
      </c>
      <c r="AD156" t="s">
        <v>74</v>
      </c>
      <c r="AE156" t="s">
        <v>74</v>
      </c>
      <c r="AF156" t="s">
        <v>74</v>
      </c>
      <c r="AG156">
        <v>44</v>
      </c>
      <c r="AH156">
        <v>129</v>
      </c>
      <c r="AI156">
        <v>162</v>
      </c>
      <c r="AJ156">
        <v>0</v>
      </c>
      <c r="AK156">
        <v>14</v>
      </c>
      <c r="AL156" t="s">
        <v>1757</v>
      </c>
      <c r="AM156" t="s">
        <v>88</v>
      </c>
      <c r="AN156" t="s">
        <v>1758</v>
      </c>
      <c r="AO156" t="s">
        <v>1779</v>
      </c>
      <c r="AP156" t="s">
        <v>74</v>
      </c>
      <c r="AQ156" t="s">
        <v>74</v>
      </c>
      <c r="AR156" t="s">
        <v>1781</v>
      </c>
      <c r="AS156" t="s">
        <v>1782</v>
      </c>
      <c r="AT156" t="s">
        <v>2496</v>
      </c>
      <c r="AU156">
        <v>2006</v>
      </c>
      <c r="AV156">
        <v>111</v>
      </c>
      <c r="AW156" t="s">
        <v>2149</v>
      </c>
      <c r="AX156" t="s">
        <v>74</v>
      </c>
      <c r="AY156" t="s">
        <v>74</v>
      </c>
      <c r="AZ156" t="s">
        <v>74</v>
      </c>
      <c r="BA156" t="s">
        <v>74</v>
      </c>
      <c r="BB156" t="s">
        <v>74</v>
      </c>
      <c r="BC156" t="s">
        <v>74</v>
      </c>
      <c r="BD156" t="s">
        <v>2497</v>
      </c>
      <c r="BE156" t="s">
        <v>2498</v>
      </c>
      <c r="BF156" t="str">
        <f>HYPERLINK("http://dx.doi.org/10.1029/2005JD006687","http://dx.doi.org/10.1029/2005JD006687")</f>
        <v>http://dx.doi.org/10.1029/2005JD006687</v>
      </c>
      <c r="BG156" t="s">
        <v>74</v>
      </c>
      <c r="BH156" t="s">
        <v>74</v>
      </c>
      <c r="BI156">
        <v>26</v>
      </c>
      <c r="BJ156" t="s">
        <v>869</v>
      </c>
      <c r="BK156" t="s">
        <v>97</v>
      </c>
      <c r="BL156" t="s">
        <v>869</v>
      </c>
      <c r="BM156" t="s">
        <v>2499</v>
      </c>
      <c r="BN156" t="s">
        <v>74</v>
      </c>
      <c r="BO156" t="s">
        <v>460</v>
      </c>
      <c r="BP156" t="s">
        <v>74</v>
      </c>
      <c r="BQ156" t="s">
        <v>74</v>
      </c>
      <c r="BR156" t="s">
        <v>100</v>
      </c>
      <c r="BS156" t="s">
        <v>2500</v>
      </c>
      <c r="BT156" t="str">
        <f>HYPERLINK("https%3A%2F%2Fwww.webofscience.com%2Fwos%2Fwoscc%2Ffull-record%2FWOS:000238953200002","View Full Record in Web of Science")</f>
        <v>View Full Record in Web of Science</v>
      </c>
    </row>
    <row r="157" spans="1:72" x14ac:dyDescent="0.15">
      <c r="A157" t="s">
        <v>72</v>
      </c>
      <c r="B157" t="s">
        <v>2501</v>
      </c>
      <c r="C157" t="s">
        <v>74</v>
      </c>
      <c r="D157" t="s">
        <v>74</v>
      </c>
      <c r="E157" t="s">
        <v>74</v>
      </c>
      <c r="F157" t="s">
        <v>2502</v>
      </c>
      <c r="G157" t="s">
        <v>74</v>
      </c>
      <c r="H157" t="s">
        <v>74</v>
      </c>
      <c r="I157" t="s">
        <v>2503</v>
      </c>
      <c r="J157" t="s">
        <v>1791</v>
      </c>
      <c r="K157" t="s">
        <v>74</v>
      </c>
      <c r="L157" t="s">
        <v>74</v>
      </c>
      <c r="M157" t="s">
        <v>78</v>
      </c>
      <c r="N157" t="s">
        <v>79</v>
      </c>
      <c r="O157" t="s">
        <v>74</v>
      </c>
      <c r="P157" t="s">
        <v>74</v>
      </c>
      <c r="Q157" t="s">
        <v>74</v>
      </c>
      <c r="R157" t="s">
        <v>74</v>
      </c>
      <c r="S157" t="s">
        <v>74</v>
      </c>
      <c r="T157" t="s">
        <v>2504</v>
      </c>
      <c r="U157" t="s">
        <v>2505</v>
      </c>
      <c r="V157" t="s">
        <v>2506</v>
      </c>
      <c r="W157" t="s">
        <v>2507</v>
      </c>
      <c r="X157" t="s">
        <v>2508</v>
      </c>
      <c r="Y157" t="s">
        <v>2509</v>
      </c>
      <c r="Z157" t="s">
        <v>2510</v>
      </c>
      <c r="AA157" t="s">
        <v>2511</v>
      </c>
      <c r="AB157" t="s">
        <v>2512</v>
      </c>
      <c r="AC157" t="s">
        <v>74</v>
      </c>
      <c r="AD157" t="s">
        <v>74</v>
      </c>
      <c r="AE157" t="s">
        <v>74</v>
      </c>
      <c r="AF157" t="s">
        <v>74</v>
      </c>
      <c r="AG157">
        <v>43</v>
      </c>
      <c r="AH157">
        <v>51</v>
      </c>
      <c r="AI157">
        <v>57</v>
      </c>
      <c r="AJ157">
        <v>2</v>
      </c>
      <c r="AK157">
        <v>16</v>
      </c>
      <c r="AL157" t="s">
        <v>1757</v>
      </c>
      <c r="AM157" t="s">
        <v>88</v>
      </c>
      <c r="AN157" t="s">
        <v>1758</v>
      </c>
      <c r="AO157" t="s">
        <v>74</v>
      </c>
      <c r="AP157" t="s">
        <v>1801</v>
      </c>
      <c r="AQ157" t="s">
        <v>74</v>
      </c>
      <c r="AR157" t="s">
        <v>1802</v>
      </c>
      <c r="AS157" t="s">
        <v>1803</v>
      </c>
      <c r="AT157" t="s">
        <v>2513</v>
      </c>
      <c r="AU157">
        <v>2006</v>
      </c>
      <c r="AV157">
        <v>7</v>
      </c>
      <c r="AW157" t="s">
        <v>74</v>
      </c>
      <c r="AX157" t="s">
        <v>74</v>
      </c>
      <c r="AY157" t="s">
        <v>74</v>
      </c>
      <c r="AZ157" t="s">
        <v>74</v>
      </c>
      <c r="BA157" t="s">
        <v>74</v>
      </c>
      <c r="BB157" t="s">
        <v>74</v>
      </c>
      <c r="BC157" t="s">
        <v>74</v>
      </c>
      <c r="BD157" t="s">
        <v>2514</v>
      </c>
      <c r="BE157" t="s">
        <v>2515</v>
      </c>
      <c r="BF157" t="str">
        <f>HYPERLINK("http://dx.doi.org/10.1029/2005GC001120","http://dx.doi.org/10.1029/2005GC001120")</f>
        <v>http://dx.doi.org/10.1029/2005GC001120</v>
      </c>
      <c r="BG157" t="s">
        <v>74</v>
      </c>
      <c r="BH157" t="s">
        <v>74</v>
      </c>
      <c r="BI157">
        <v>20</v>
      </c>
      <c r="BJ157" t="s">
        <v>608</v>
      </c>
      <c r="BK157" t="s">
        <v>97</v>
      </c>
      <c r="BL157" t="s">
        <v>608</v>
      </c>
      <c r="BM157" t="s">
        <v>2516</v>
      </c>
      <c r="BN157" t="s">
        <v>74</v>
      </c>
      <c r="BO157" t="s">
        <v>460</v>
      </c>
      <c r="BP157" t="s">
        <v>74</v>
      </c>
      <c r="BQ157" t="s">
        <v>74</v>
      </c>
      <c r="BR157" t="s">
        <v>100</v>
      </c>
      <c r="BS157" t="s">
        <v>2517</v>
      </c>
      <c r="BT157" t="str">
        <f>HYPERLINK("https%3A%2F%2Fwww.webofscience.com%2Fwos%2Fwoscc%2Ffull-record%2FWOS:000238951700001","View Full Record in Web of Science")</f>
        <v>View Full Record in Web of Science</v>
      </c>
    </row>
    <row r="158" spans="1:72" x14ac:dyDescent="0.15">
      <c r="A158" t="s">
        <v>72</v>
      </c>
      <c r="B158" t="s">
        <v>2518</v>
      </c>
      <c r="C158" t="s">
        <v>74</v>
      </c>
      <c r="D158" t="s">
        <v>74</v>
      </c>
      <c r="E158" t="s">
        <v>74</v>
      </c>
      <c r="F158" t="s">
        <v>2519</v>
      </c>
      <c r="G158" t="s">
        <v>74</v>
      </c>
      <c r="H158" t="s">
        <v>74</v>
      </c>
      <c r="I158" t="s">
        <v>2520</v>
      </c>
      <c r="J158" t="s">
        <v>2521</v>
      </c>
      <c r="K158" t="s">
        <v>74</v>
      </c>
      <c r="L158" t="s">
        <v>74</v>
      </c>
      <c r="M158" t="s">
        <v>78</v>
      </c>
      <c r="N158" t="s">
        <v>79</v>
      </c>
      <c r="O158" t="s">
        <v>74</v>
      </c>
      <c r="P158" t="s">
        <v>74</v>
      </c>
      <c r="Q158" t="s">
        <v>74</v>
      </c>
      <c r="R158" t="s">
        <v>74</v>
      </c>
      <c r="S158" t="s">
        <v>74</v>
      </c>
      <c r="T158" t="s">
        <v>2522</v>
      </c>
      <c r="U158" t="s">
        <v>2523</v>
      </c>
      <c r="V158" t="s">
        <v>2524</v>
      </c>
      <c r="W158" t="s">
        <v>2525</v>
      </c>
      <c r="X158" t="s">
        <v>2526</v>
      </c>
      <c r="Y158" t="s">
        <v>2527</v>
      </c>
      <c r="Z158" t="s">
        <v>2528</v>
      </c>
      <c r="AA158" t="s">
        <v>2529</v>
      </c>
      <c r="AB158" t="s">
        <v>2530</v>
      </c>
      <c r="AC158" t="s">
        <v>2531</v>
      </c>
      <c r="AD158" t="s">
        <v>413</v>
      </c>
      <c r="AE158" t="s">
        <v>74</v>
      </c>
      <c r="AF158" t="s">
        <v>74</v>
      </c>
      <c r="AG158">
        <v>31</v>
      </c>
      <c r="AH158">
        <v>84</v>
      </c>
      <c r="AI158">
        <v>92</v>
      </c>
      <c r="AJ158">
        <v>0</v>
      </c>
      <c r="AK158">
        <v>24</v>
      </c>
      <c r="AL158" t="s">
        <v>2185</v>
      </c>
      <c r="AM158" t="s">
        <v>557</v>
      </c>
      <c r="AN158" t="s">
        <v>2165</v>
      </c>
      <c r="AO158" t="s">
        <v>2532</v>
      </c>
      <c r="AP158" t="s">
        <v>2533</v>
      </c>
      <c r="AQ158" t="s">
        <v>74</v>
      </c>
      <c r="AR158" t="s">
        <v>2534</v>
      </c>
      <c r="AS158" t="s">
        <v>2535</v>
      </c>
      <c r="AT158" t="s">
        <v>2513</v>
      </c>
      <c r="AU158">
        <v>2006</v>
      </c>
      <c r="AV158">
        <v>273</v>
      </c>
      <c r="AW158">
        <v>1594</v>
      </c>
      <c r="AX158" t="s">
        <v>74</v>
      </c>
      <c r="AY158" t="s">
        <v>74</v>
      </c>
      <c r="AZ158" t="s">
        <v>74</v>
      </c>
      <c r="BA158" t="s">
        <v>74</v>
      </c>
      <c r="BB158">
        <v>1625</v>
      </c>
      <c r="BC158">
        <v>1630</v>
      </c>
      <c r="BD158" t="s">
        <v>74</v>
      </c>
      <c r="BE158" t="s">
        <v>2536</v>
      </c>
      <c r="BF158" t="str">
        <f>HYPERLINK("http://dx.doi.org/10.1098/rspb.2006.3482","http://dx.doi.org/10.1098/rspb.2006.3482")</f>
        <v>http://dx.doi.org/10.1098/rspb.2006.3482</v>
      </c>
      <c r="BG158" t="s">
        <v>74</v>
      </c>
      <c r="BH158" t="s">
        <v>74</v>
      </c>
      <c r="BI158">
        <v>6</v>
      </c>
      <c r="BJ158" t="s">
        <v>2537</v>
      </c>
      <c r="BK158" t="s">
        <v>97</v>
      </c>
      <c r="BL158" t="s">
        <v>2538</v>
      </c>
      <c r="BM158" t="s">
        <v>2539</v>
      </c>
      <c r="BN158">
        <v>16769633</v>
      </c>
      <c r="BO158" t="s">
        <v>99</v>
      </c>
      <c r="BP158" t="s">
        <v>74</v>
      </c>
      <c r="BQ158" t="s">
        <v>74</v>
      </c>
      <c r="BR158" t="s">
        <v>100</v>
      </c>
      <c r="BS158" t="s">
        <v>2540</v>
      </c>
      <c r="BT158" t="str">
        <f>HYPERLINK("https%3A%2F%2Fwww.webofscience.com%2Fwos%2Fwoscc%2Ffull-record%2FWOS:000238536300007","View Full Record in Web of Science")</f>
        <v>View Full Record in Web of Science</v>
      </c>
    </row>
    <row r="159" spans="1:72" x14ac:dyDescent="0.15">
      <c r="A159" t="s">
        <v>72</v>
      </c>
      <c r="B159" t="s">
        <v>2541</v>
      </c>
      <c r="C159" t="s">
        <v>74</v>
      </c>
      <c r="D159" t="s">
        <v>74</v>
      </c>
      <c r="E159" t="s">
        <v>74</v>
      </c>
      <c r="F159" t="s">
        <v>2542</v>
      </c>
      <c r="G159" t="s">
        <v>74</v>
      </c>
      <c r="H159" t="s">
        <v>74</v>
      </c>
      <c r="I159" t="s">
        <v>2543</v>
      </c>
      <c r="J159" t="s">
        <v>1772</v>
      </c>
      <c r="K159" t="s">
        <v>74</v>
      </c>
      <c r="L159" t="s">
        <v>74</v>
      </c>
      <c r="M159" t="s">
        <v>78</v>
      </c>
      <c r="N159" t="s">
        <v>79</v>
      </c>
      <c r="O159" t="s">
        <v>74</v>
      </c>
      <c r="P159" t="s">
        <v>74</v>
      </c>
      <c r="Q159" t="s">
        <v>74</v>
      </c>
      <c r="R159" t="s">
        <v>74</v>
      </c>
      <c r="S159" t="s">
        <v>74</v>
      </c>
      <c r="T159" t="s">
        <v>74</v>
      </c>
      <c r="U159" t="s">
        <v>2544</v>
      </c>
      <c r="V159" t="s">
        <v>2545</v>
      </c>
      <c r="W159" t="s">
        <v>2546</v>
      </c>
      <c r="X159" t="s">
        <v>2547</v>
      </c>
      <c r="Y159" t="s">
        <v>2548</v>
      </c>
      <c r="Z159" t="s">
        <v>2549</v>
      </c>
      <c r="AA159" t="s">
        <v>2550</v>
      </c>
      <c r="AB159" t="s">
        <v>2551</v>
      </c>
      <c r="AC159" t="s">
        <v>74</v>
      </c>
      <c r="AD159" t="s">
        <v>74</v>
      </c>
      <c r="AE159" t="s">
        <v>74</v>
      </c>
      <c r="AF159" t="s">
        <v>74</v>
      </c>
      <c r="AG159">
        <v>34</v>
      </c>
      <c r="AH159">
        <v>13</v>
      </c>
      <c r="AI159">
        <v>13</v>
      </c>
      <c r="AJ159">
        <v>1</v>
      </c>
      <c r="AK159">
        <v>7</v>
      </c>
      <c r="AL159" t="s">
        <v>1757</v>
      </c>
      <c r="AM159" t="s">
        <v>88</v>
      </c>
      <c r="AN159" t="s">
        <v>1758</v>
      </c>
      <c r="AO159" t="s">
        <v>1779</v>
      </c>
      <c r="AP159" t="s">
        <v>74</v>
      </c>
      <c r="AQ159" t="s">
        <v>74</v>
      </c>
      <c r="AR159" t="s">
        <v>1781</v>
      </c>
      <c r="AS159" t="s">
        <v>1782</v>
      </c>
      <c r="AT159" t="s">
        <v>2552</v>
      </c>
      <c r="AU159">
        <v>2006</v>
      </c>
      <c r="AV159">
        <v>111</v>
      </c>
      <c r="AW159" t="s">
        <v>2149</v>
      </c>
      <c r="AX159" t="s">
        <v>74</v>
      </c>
      <c r="AY159" t="s">
        <v>74</v>
      </c>
      <c r="AZ159" t="s">
        <v>74</v>
      </c>
      <c r="BA159" t="s">
        <v>74</v>
      </c>
      <c r="BB159" t="s">
        <v>74</v>
      </c>
      <c r="BC159" t="s">
        <v>74</v>
      </c>
      <c r="BD159" t="s">
        <v>2553</v>
      </c>
      <c r="BE159" t="s">
        <v>2554</v>
      </c>
      <c r="BF159" t="str">
        <f>HYPERLINK("http://dx.doi.org/10.1029/2005JD006513","http://dx.doi.org/10.1029/2005JD006513")</f>
        <v>http://dx.doi.org/10.1029/2005JD006513</v>
      </c>
      <c r="BG159" t="s">
        <v>74</v>
      </c>
      <c r="BH159" t="s">
        <v>74</v>
      </c>
      <c r="BI159">
        <v>15</v>
      </c>
      <c r="BJ159" t="s">
        <v>869</v>
      </c>
      <c r="BK159" t="s">
        <v>97</v>
      </c>
      <c r="BL159" t="s">
        <v>869</v>
      </c>
      <c r="BM159" t="s">
        <v>2555</v>
      </c>
      <c r="BN159" t="s">
        <v>74</v>
      </c>
      <c r="BO159" t="s">
        <v>460</v>
      </c>
      <c r="BP159" t="s">
        <v>74</v>
      </c>
      <c r="BQ159" t="s">
        <v>74</v>
      </c>
      <c r="BR159" t="s">
        <v>100</v>
      </c>
      <c r="BS159" t="s">
        <v>2556</v>
      </c>
      <c r="BT159" t="str">
        <f>HYPERLINK("https%3A%2F%2Fwww.webofscience.com%2Fwos%2Fwoscc%2Ffull-record%2FWOS:000238953000001","View Full Record in Web of Science")</f>
        <v>View Full Record in Web of Science</v>
      </c>
    </row>
    <row r="160" spans="1:72" x14ac:dyDescent="0.15">
      <c r="A160" t="s">
        <v>72</v>
      </c>
      <c r="B160" t="s">
        <v>2557</v>
      </c>
      <c r="C160" t="s">
        <v>74</v>
      </c>
      <c r="D160" t="s">
        <v>74</v>
      </c>
      <c r="E160" t="s">
        <v>74</v>
      </c>
      <c r="F160" t="s">
        <v>2558</v>
      </c>
      <c r="G160" t="s">
        <v>74</v>
      </c>
      <c r="H160" t="s">
        <v>74</v>
      </c>
      <c r="I160" t="s">
        <v>2559</v>
      </c>
      <c r="J160" t="s">
        <v>2560</v>
      </c>
      <c r="K160" t="s">
        <v>74</v>
      </c>
      <c r="L160" t="s">
        <v>74</v>
      </c>
      <c r="M160" t="s">
        <v>78</v>
      </c>
      <c r="N160" t="s">
        <v>79</v>
      </c>
      <c r="O160" t="s">
        <v>74</v>
      </c>
      <c r="P160" t="s">
        <v>74</v>
      </c>
      <c r="Q160" t="s">
        <v>74</v>
      </c>
      <c r="R160" t="s">
        <v>74</v>
      </c>
      <c r="S160" t="s">
        <v>74</v>
      </c>
      <c r="T160" t="s">
        <v>2561</v>
      </c>
      <c r="U160" t="s">
        <v>2562</v>
      </c>
      <c r="V160" t="s">
        <v>2563</v>
      </c>
      <c r="W160" t="s">
        <v>2564</v>
      </c>
      <c r="X160" t="s">
        <v>2565</v>
      </c>
      <c r="Y160" t="s">
        <v>2566</v>
      </c>
      <c r="Z160" t="s">
        <v>2567</v>
      </c>
      <c r="AA160" t="s">
        <v>2568</v>
      </c>
      <c r="AB160" t="s">
        <v>2569</v>
      </c>
      <c r="AC160" t="s">
        <v>74</v>
      </c>
      <c r="AD160" t="s">
        <v>74</v>
      </c>
      <c r="AE160" t="s">
        <v>74</v>
      </c>
      <c r="AF160" t="s">
        <v>74</v>
      </c>
      <c r="AG160">
        <v>25</v>
      </c>
      <c r="AH160">
        <v>53</v>
      </c>
      <c r="AI160">
        <v>59</v>
      </c>
      <c r="AJ160">
        <v>1</v>
      </c>
      <c r="AK160">
        <v>20</v>
      </c>
      <c r="AL160" t="s">
        <v>2570</v>
      </c>
      <c r="AM160" t="s">
        <v>88</v>
      </c>
      <c r="AN160" t="s">
        <v>2571</v>
      </c>
      <c r="AO160" t="s">
        <v>2572</v>
      </c>
      <c r="AP160" t="s">
        <v>74</v>
      </c>
      <c r="AQ160" t="s">
        <v>74</v>
      </c>
      <c r="AR160" t="s">
        <v>2573</v>
      </c>
      <c r="AS160" t="s">
        <v>2574</v>
      </c>
      <c r="AT160" t="s">
        <v>2575</v>
      </c>
      <c r="AU160">
        <v>2006</v>
      </c>
      <c r="AV160">
        <v>103</v>
      </c>
      <c r="AW160">
        <v>27</v>
      </c>
      <c r="AX160" t="s">
        <v>74</v>
      </c>
      <c r="AY160" t="s">
        <v>74</v>
      </c>
      <c r="AZ160" t="s">
        <v>74</v>
      </c>
      <c r="BA160" t="s">
        <v>74</v>
      </c>
      <c r="BB160">
        <v>10213</v>
      </c>
      <c r="BC160">
        <v>10217</v>
      </c>
      <c r="BD160" t="s">
        <v>74</v>
      </c>
      <c r="BE160" t="s">
        <v>2576</v>
      </c>
      <c r="BF160" t="str">
        <f>HYPERLINK("http://dx.doi.org/10.1073/pnas.0604002103","http://dx.doi.org/10.1073/pnas.0604002103")</f>
        <v>http://dx.doi.org/10.1073/pnas.0604002103</v>
      </c>
      <c r="BG160" t="s">
        <v>74</v>
      </c>
      <c r="BH160" t="s">
        <v>74</v>
      </c>
      <c r="BI160">
        <v>5</v>
      </c>
      <c r="BJ160" t="s">
        <v>1841</v>
      </c>
      <c r="BK160" t="s">
        <v>97</v>
      </c>
      <c r="BL160" t="s">
        <v>1842</v>
      </c>
      <c r="BM160" t="s">
        <v>2577</v>
      </c>
      <c r="BN160">
        <v>16801535</v>
      </c>
      <c r="BO160" t="s">
        <v>99</v>
      </c>
      <c r="BP160" t="s">
        <v>74</v>
      </c>
      <c r="BQ160" t="s">
        <v>74</v>
      </c>
      <c r="BR160" t="s">
        <v>100</v>
      </c>
      <c r="BS160" t="s">
        <v>2578</v>
      </c>
      <c r="BT160" t="str">
        <f>HYPERLINK("https%3A%2F%2Fwww.webofscience.com%2Fwos%2Fwoscc%2Ffull-record%2FWOS:000239069400013","View Full Record in Web of Science")</f>
        <v>View Full Record in Web of Science</v>
      </c>
    </row>
    <row r="161" spans="1:72" x14ac:dyDescent="0.15">
      <c r="A161" t="s">
        <v>72</v>
      </c>
      <c r="B161" t="s">
        <v>2579</v>
      </c>
      <c r="C161" t="s">
        <v>74</v>
      </c>
      <c r="D161" t="s">
        <v>74</v>
      </c>
      <c r="E161" t="s">
        <v>74</v>
      </c>
      <c r="F161" t="s">
        <v>2580</v>
      </c>
      <c r="G161" t="s">
        <v>74</v>
      </c>
      <c r="H161" t="s">
        <v>74</v>
      </c>
      <c r="I161" t="s">
        <v>2581</v>
      </c>
      <c r="J161" t="s">
        <v>2560</v>
      </c>
      <c r="K161" t="s">
        <v>74</v>
      </c>
      <c r="L161" t="s">
        <v>74</v>
      </c>
      <c r="M161" t="s">
        <v>78</v>
      </c>
      <c r="N161" t="s">
        <v>79</v>
      </c>
      <c r="O161" t="s">
        <v>74</v>
      </c>
      <c r="P161" t="s">
        <v>74</v>
      </c>
      <c r="Q161" t="s">
        <v>74</v>
      </c>
      <c r="R161" t="s">
        <v>74</v>
      </c>
      <c r="S161" t="s">
        <v>74</v>
      </c>
      <c r="T161" t="s">
        <v>2582</v>
      </c>
      <c r="U161" t="s">
        <v>2583</v>
      </c>
      <c r="V161" t="s">
        <v>2584</v>
      </c>
      <c r="W161" t="s">
        <v>2585</v>
      </c>
      <c r="X161" t="s">
        <v>2586</v>
      </c>
      <c r="Y161" t="s">
        <v>2587</v>
      </c>
      <c r="Z161" t="s">
        <v>2588</v>
      </c>
      <c r="AA161" t="s">
        <v>2589</v>
      </c>
      <c r="AB161" t="s">
        <v>2590</v>
      </c>
      <c r="AC161" t="s">
        <v>74</v>
      </c>
      <c r="AD161" t="s">
        <v>74</v>
      </c>
      <c r="AE161" t="s">
        <v>74</v>
      </c>
      <c r="AF161" t="s">
        <v>74</v>
      </c>
      <c r="AG161">
        <v>36</v>
      </c>
      <c r="AH161">
        <v>48</v>
      </c>
      <c r="AI161">
        <v>60</v>
      </c>
      <c r="AJ161">
        <v>1</v>
      </c>
      <c r="AK161">
        <v>51</v>
      </c>
      <c r="AL161" t="s">
        <v>2570</v>
      </c>
      <c r="AM161" t="s">
        <v>88</v>
      </c>
      <c r="AN161" t="s">
        <v>2571</v>
      </c>
      <c r="AO161" t="s">
        <v>2572</v>
      </c>
      <c r="AP161" t="s">
        <v>74</v>
      </c>
      <c r="AQ161" t="s">
        <v>74</v>
      </c>
      <c r="AR161" t="s">
        <v>2573</v>
      </c>
      <c r="AS161" t="s">
        <v>2574</v>
      </c>
      <c r="AT161" t="s">
        <v>2575</v>
      </c>
      <c r="AU161">
        <v>2006</v>
      </c>
      <c r="AV161">
        <v>103</v>
      </c>
      <c r="AW161">
        <v>27</v>
      </c>
      <c r="AX161" t="s">
        <v>74</v>
      </c>
      <c r="AY161" t="s">
        <v>74</v>
      </c>
      <c r="AZ161" t="s">
        <v>74</v>
      </c>
      <c r="BA161" t="s">
        <v>74</v>
      </c>
      <c r="BB161">
        <v>10491</v>
      </c>
      <c r="BC161">
        <v>10496</v>
      </c>
      <c r="BD161" t="s">
        <v>74</v>
      </c>
      <c r="BE161" t="s">
        <v>2591</v>
      </c>
      <c r="BF161" t="str">
        <f>HYPERLINK("http://dx.doi.org/10.1073/pnas.0603796103","http://dx.doi.org/10.1073/pnas.0603796103")</f>
        <v>http://dx.doi.org/10.1073/pnas.0603796103</v>
      </c>
      <c r="BG161" t="s">
        <v>74</v>
      </c>
      <c r="BH161" t="s">
        <v>74</v>
      </c>
      <c r="BI161">
        <v>6</v>
      </c>
      <c r="BJ161" t="s">
        <v>1841</v>
      </c>
      <c r="BK161" t="s">
        <v>97</v>
      </c>
      <c r="BL161" t="s">
        <v>1842</v>
      </c>
      <c r="BM161" t="s">
        <v>2577</v>
      </c>
      <c r="BN161">
        <v>16798878</v>
      </c>
      <c r="BO161" t="s">
        <v>99</v>
      </c>
      <c r="BP161" t="s">
        <v>74</v>
      </c>
      <c r="BQ161" t="s">
        <v>74</v>
      </c>
      <c r="BR161" t="s">
        <v>100</v>
      </c>
      <c r="BS161" t="s">
        <v>2592</v>
      </c>
      <c r="BT161" t="str">
        <f>HYPERLINK("https%3A%2F%2Fwww.webofscience.com%2Fwos%2Fwoscc%2Ffull-record%2FWOS:000239069400061","View Full Record in Web of Science")</f>
        <v>View Full Record in Web of Science</v>
      </c>
    </row>
    <row r="162" spans="1:72" x14ac:dyDescent="0.15">
      <c r="A162" t="s">
        <v>72</v>
      </c>
      <c r="B162" t="s">
        <v>2593</v>
      </c>
      <c r="C162" t="s">
        <v>74</v>
      </c>
      <c r="D162" t="s">
        <v>74</v>
      </c>
      <c r="E162" t="s">
        <v>74</v>
      </c>
      <c r="F162" t="s">
        <v>2594</v>
      </c>
      <c r="G162" t="s">
        <v>74</v>
      </c>
      <c r="H162" t="s">
        <v>74</v>
      </c>
      <c r="I162" t="s">
        <v>2595</v>
      </c>
      <c r="J162" t="s">
        <v>2354</v>
      </c>
      <c r="K162" t="s">
        <v>74</v>
      </c>
      <c r="L162" t="s">
        <v>74</v>
      </c>
      <c r="M162" t="s">
        <v>78</v>
      </c>
      <c r="N162" t="s">
        <v>79</v>
      </c>
      <c r="O162" t="s">
        <v>74</v>
      </c>
      <c r="P162" t="s">
        <v>74</v>
      </c>
      <c r="Q162" t="s">
        <v>74</v>
      </c>
      <c r="R162" t="s">
        <v>74</v>
      </c>
      <c r="S162" t="s">
        <v>74</v>
      </c>
      <c r="T162" t="s">
        <v>74</v>
      </c>
      <c r="U162" t="s">
        <v>2596</v>
      </c>
      <c r="V162" t="s">
        <v>2597</v>
      </c>
      <c r="W162" t="s">
        <v>2598</v>
      </c>
      <c r="X162" t="s">
        <v>2599</v>
      </c>
      <c r="Y162" t="s">
        <v>2600</v>
      </c>
      <c r="Z162" t="s">
        <v>2601</v>
      </c>
      <c r="AA162" t="s">
        <v>2602</v>
      </c>
      <c r="AB162" t="s">
        <v>2603</v>
      </c>
      <c r="AC162" t="s">
        <v>74</v>
      </c>
      <c r="AD162" t="s">
        <v>74</v>
      </c>
      <c r="AE162" t="s">
        <v>74</v>
      </c>
      <c r="AF162" t="s">
        <v>74</v>
      </c>
      <c r="AG162">
        <v>72</v>
      </c>
      <c r="AH162">
        <v>76</v>
      </c>
      <c r="AI162">
        <v>84</v>
      </c>
      <c r="AJ162">
        <v>5</v>
      </c>
      <c r="AK162">
        <v>29</v>
      </c>
      <c r="AL162" t="s">
        <v>1757</v>
      </c>
      <c r="AM162" t="s">
        <v>88</v>
      </c>
      <c r="AN162" t="s">
        <v>1758</v>
      </c>
      <c r="AO162" t="s">
        <v>2363</v>
      </c>
      <c r="AP162" t="s">
        <v>2364</v>
      </c>
      <c r="AQ162" t="s">
        <v>74</v>
      </c>
      <c r="AR162" t="s">
        <v>2365</v>
      </c>
      <c r="AS162" t="s">
        <v>2366</v>
      </c>
      <c r="AT162" t="s">
        <v>2604</v>
      </c>
      <c r="AU162">
        <v>2006</v>
      </c>
      <c r="AV162">
        <v>111</v>
      </c>
      <c r="AW162" t="s">
        <v>2368</v>
      </c>
      <c r="AX162" t="s">
        <v>74</v>
      </c>
      <c r="AY162" t="s">
        <v>74</v>
      </c>
      <c r="AZ162" t="s">
        <v>74</v>
      </c>
      <c r="BA162" t="s">
        <v>74</v>
      </c>
      <c r="BB162" t="s">
        <v>74</v>
      </c>
      <c r="BC162" t="s">
        <v>74</v>
      </c>
      <c r="BD162" t="s">
        <v>2605</v>
      </c>
      <c r="BE162" t="s">
        <v>2606</v>
      </c>
      <c r="BF162" t="str">
        <f>HYPERLINK("http://dx.doi.org/10.1029/2005JC003173","http://dx.doi.org/10.1029/2005JC003173")</f>
        <v>http://dx.doi.org/10.1029/2005JC003173</v>
      </c>
      <c r="BG162" t="s">
        <v>74</v>
      </c>
      <c r="BH162" t="s">
        <v>74</v>
      </c>
      <c r="BI162">
        <v>22</v>
      </c>
      <c r="BJ162" t="s">
        <v>1069</v>
      </c>
      <c r="BK162" t="s">
        <v>97</v>
      </c>
      <c r="BL162" t="s">
        <v>1069</v>
      </c>
      <c r="BM162" t="s">
        <v>2607</v>
      </c>
      <c r="BN162" t="s">
        <v>74</v>
      </c>
      <c r="BO162" t="s">
        <v>1767</v>
      </c>
      <c r="BP162" t="s">
        <v>74</v>
      </c>
      <c r="BQ162" t="s">
        <v>74</v>
      </c>
      <c r="BR162" t="s">
        <v>100</v>
      </c>
      <c r="BS162" t="s">
        <v>2608</v>
      </c>
      <c r="BT162" t="str">
        <f>HYPERLINK("https%3A%2F%2Fwww.webofscience.com%2Fwos%2Fwoscc%2Ffull-record%2FWOS:000238953400003","View Full Record in Web of Science")</f>
        <v>View Full Record in Web of Science</v>
      </c>
    </row>
    <row r="163" spans="1:72" x14ac:dyDescent="0.15">
      <c r="A163" t="s">
        <v>72</v>
      </c>
      <c r="B163" t="s">
        <v>2609</v>
      </c>
      <c r="C163" t="s">
        <v>74</v>
      </c>
      <c r="D163" t="s">
        <v>74</v>
      </c>
      <c r="E163" t="s">
        <v>74</v>
      </c>
      <c r="F163" t="s">
        <v>2610</v>
      </c>
      <c r="G163" t="s">
        <v>74</v>
      </c>
      <c r="H163" t="s">
        <v>74</v>
      </c>
      <c r="I163" t="s">
        <v>2611</v>
      </c>
      <c r="J163" t="s">
        <v>2354</v>
      </c>
      <c r="K163" t="s">
        <v>74</v>
      </c>
      <c r="L163" t="s">
        <v>74</v>
      </c>
      <c r="M163" t="s">
        <v>78</v>
      </c>
      <c r="N163" t="s">
        <v>79</v>
      </c>
      <c r="O163" t="s">
        <v>74</v>
      </c>
      <c r="P163" t="s">
        <v>74</v>
      </c>
      <c r="Q163" t="s">
        <v>74</v>
      </c>
      <c r="R163" t="s">
        <v>74</v>
      </c>
      <c r="S163" t="s">
        <v>74</v>
      </c>
      <c r="T163" t="s">
        <v>74</v>
      </c>
      <c r="U163" t="s">
        <v>2612</v>
      </c>
      <c r="V163" t="s">
        <v>2613</v>
      </c>
      <c r="W163" t="s">
        <v>515</v>
      </c>
      <c r="X163" t="s">
        <v>516</v>
      </c>
      <c r="Y163" t="s">
        <v>2614</v>
      </c>
      <c r="Z163" t="s">
        <v>2615</v>
      </c>
      <c r="AA163" t="s">
        <v>74</v>
      </c>
      <c r="AB163" t="s">
        <v>2616</v>
      </c>
      <c r="AC163" t="s">
        <v>74</v>
      </c>
      <c r="AD163" t="s">
        <v>74</v>
      </c>
      <c r="AE163" t="s">
        <v>74</v>
      </c>
      <c r="AF163" t="s">
        <v>74</v>
      </c>
      <c r="AG163">
        <v>38</v>
      </c>
      <c r="AH163">
        <v>22</v>
      </c>
      <c r="AI163">
        <v>25</v>
      </c>
      <c r="AJ163">
        <v>0</v>
      </c>
      <c r="AK163">
        <v>8</v>
      </c>
      <c r="AL163" t="s">
        <v>1757</v>
      </c>
      <c r="AM163" t="s">
        <v>88</v>
      </c>
      <c r="AN163" t="s">
        <v>1758</v>
      </c>
      <c r="AO163" t="s">
        <v>2363</v>
      </c>
      <c r="AP163" t="s">
        <v>2364</v>
      </c>
      <c r="AQ163" t="s">
        <v>74</v>
      </c>
      <c r="AR163" t="s">
        <v>2365</v>
      </c>
      <c r="AS163" t="s">
        <v>2366</v>
      </c>
      <c r="AT163" t="s">
        <v>2604</v>
      </c>
      <c r="AU163">
        <v>2006</v>
      </c>
      <c r="AV163">
        <v>111</v>
      </c>
      <c r="AW163" t="s">
        <v>2368</v>
      </c>
      <c r="AX163" t="s">
        <v>74</v>
      </c>
      <c r="AY163" t="s">
        <v>74</v>
      </c>
      <c r="AZ163" t="s">
        <v>74</v>
      </c>
      <c r="BA163" t="s">
        <v>74</v>
      </c>
      <c r="BB163" t="s">
        <v>74</v>
      </c>
      <c r="BC163" t="s">
        <v>74</v>
      </c>
      <c r="BD163" t="s">
        <v>2617</v>
      </c>
      <c r="BE163" t="s">
        <v>2618</v>
      </c>
      <c r="BF163" t="str">
        <f>HYPERLINK("http://dx.doi.org/10.1029/2005JC003339","http://dx.doi.org/10.1029/2005JC003339")</f>
        <v>http://dx.doi.org/10.1029/2005JC003339</v>
      </c>
      <c r="BG163" t="s">
        <v>74</v>
      </c>
      <c r="BH163" t="s">
        <v>74</v>
      </c>
      <c r="BI163">
        <v>8</v>
      </c>
      <c r="BJ163" t="s">
        <v>1069</v>
      </c>
      <c r="BK163" t="s">
        <v>97</v>
      </c>
      <c r="BL163" t="s">
        <v>1069</v>
      </c>
      <c r="BM163" t="s">
        <v>2607</v>
      </c>
      <c r="BN163" t="s">
        <v>74</v>
      </c>
      <c r="BO163" t="s">
        <v>460</v>
      </c>
      <c r="BP163" t="s">
        <v>74</v>
      </c>
      <c r="BQ163" t="s">
        <v>74</v>
      </c>
      <c r="BR163" t="s">
        <v>100</v>
      </c>
      <c r="BS163" t="s">
        <v>2619</v>
      </c>
      <c r="BT163" t="str">
        <f>HYPERLINK("https%3A%2F%2Fwww.webofscience.com%2Fwos%2Fwoscc%2Ffull-record%2FWOS:000238953400004","View Full Record in Web of Science")</f>
        <v>View Full Record in Web of Science</v>
      </c>
    </row>
    <row r="164" spans="1:72" x14ac:dyDescent="0.15">
      <c r="A164" t="s">
        <v>72</v>
      </c>
      <c r="B164" t="s">
        <v>2620</v>
      </c>
      <c r="C164" t="s">
        <v>74</v>
      </c>
      <c r="D164" t="s">
        <v>74</v>
      </c>
      <c r="E164" t="s">
        <v>74</v>
      </c>
      <c r="F164" t="s">
        <v>2620</v>
      </c>
      <c r="G164" t="s">
        <v>74</v>
      </c>
      <c r="H164" t="s">
        <v>74</v>
      </c>
      <c r="I164" t="s">
        <v>2621</v>
      </c>
      <c r="J164" t="s">
        <v>2622</v>
      </c>
      <c r="K164" t="s">
        <v>74</v>
      </c>
      <c r="L164" t="s">
        <v>74</v>
      </c>
      <c r="M164" t="s">
        <v>78</v>
      </c>
      <c r="N164" t="s">
        <v>79</v>
      </c>
      <c r="O164" t="s">
        <v>74</v>
      </c>
      <c r="P164" t="s">
        <v>74</v>
      </c>
      <c r="Q164" t="s">
        <v>74</v>
      </c>
      <c r="R164" t="s">
        <v>74</v>
      </c>
      <c r="S164" t="s">
        <v>74</v>
      </c>
      <c r="T164" t="s">
        <v>2623</v>
      </c>
      <c r="U164" t="s">
        <v>2624</v>
      </c>
      <c r="V164" t="s">
        <v>2625</v>
      </c>
      <c r="W164" t="s">
        <v>2626</v>
      </c>
      <c r="X164" t="s">
        <v>74</v>
      </c>
      <c r="Y164" t="s">
        <v>2627</v>
      </c>
      <c r="Z164" t="s">
        <v>2628</v>
      </c>
      <c r="AA164" t="s">
        <v>2629</v>
      </c>
      <c r="AB164" t="s">
        <v>74</v>
      </c>
      <c r="AC164" t="s">
        <v>74</v>
      </c>
      <c r="AD164" t="s">
        <v>74</v>
      </c>
      <c r="AE164" t="s">
        <v>74</v>
      </c>
      <c r="AF164" t="s">
        <v>74</v>
      </c>
      <c r="AG164">
        <v>36</v>
      </c>
      <c r="AH164">
        <v>14</v>
      </c>
      <c r="AI164">
        <v>17</v>
      </c>
      <c r="AJ164">
        <v>1</v>
      </c>
      <c r="AK164">
        <v>21</v>
      </c>
      <c r="AL164" t="s">
        <v>2630</v>
      </c>
      <c r="AM164" t="s">
        <v>388</v>
      </c>
      <c r="AN164" t="s">
        <v>2631</v>
      </c>
      <c r="AO164" t="s">
        <v>2632</v>
      </c>
      <c r="AP164" t="s">
        <v>74</v>
      </c>
      <c r="AQ164" t="s">
        <v>74</v>
      </c>
      <c r="AR164" t="s">
        <v>2633</v>
      </c>
      <c r="AS164" t="s">
        <v>2634</v>
      </c>
      <c r="AT164" t="s">
        <v>2635</v>
      </c>
      <c r="AU164">
        <v>2006</v>
      </c>
      <c r="AV164">
        <v>130</v>
      </c>
      <c r="AW164">
        <v>3</v>
      </c>
      <c r="AX164" t="s">
        <v>74</v>
      </c>
      <c r="AY164" t="s">
        <v>74</v>
      </c>
      <c r="AZ164" t="s">
        <v>74</v>
      </c>
      <c r="BA164" t="s">
        <v>74</v>
      </c>
      <c r="BB164">
        <v>406</v>
      </c>
      <c r="BC164">
        <v>415</v>
      </c>
      <c r="BD164" t="s">
        <v>74</v>
      </c>
      <c r="BE164" t="s">
        <v>2636</v>
      </c>
      <c r="BF164" t="str">
        <f>HYPERLINK("http://dx.doi.org/10.1016/j.biocon.2006.01.002","http://dx.doi.org/10.1016/j.biocon.2006.01.002")</f>
        <v>http://dx.doi.org/10.1016/j.biocon.2006.01.002</v>
      </c>
      <c r="BG164" t="s">
        <v>74</v>
      </c>
      <c r="BH164" t="s">
        <v>74</v>
      </c>
      <c r="BI164">
        <v>10</v>
      </c>
      <c r="BJ164" t="s">
        <v>2637</v>
      </c>
      <c r="BK164" t="s">
        <v>97</v>
      </c>
      <c r="BL164" t="s">
        <v>1526</v>
      </c>
      <c r="BM164" t="s">
        <v>2638</v>
      </c>
      <c r="BN164" t="s">
        <v>74</v>
      </c>
      <c r="BO164" t="s">
        <v>74</v>
      </c>
      <c r="BP164" t="s">
        <v>74</v>
      </c>
      <c r="BQ164" t="s">
        <v>74</v>
      </c>
      <c r="BR164" t="s">
        <v>100</v>
      </c>
      <c r="BS164" t="s">
        <v>2639</v>
      </c>
      <c r="BT164" t="str">
        <f>HYPERLINK("https%3A%2F%2Fwww.webofscience.com%2Fwos%2Fwoscc%2Ffull-record%2FWOS:000238427800009","View Full Record in Web of Science")</f>
        <v>View Full Record in Web of Science</v>
      </c>
    </row>
    <row r="165" spans="1:72" x14ac:dyDescent="0.15">
      <c r="A165" t="s">
        <v>72</v>
      </c>
      <c r="B165" t="s">
        <v>2640</v>
      </c>
      <c r="C165" t="s">
        <v>74</v>
      </c>
      <c r="D165" t="s">
        <v>74</v>
      </c>
      <c r="E165" t="s">
        <v>74</v>
      </c>
      <c r="F165" t="s">
        <v>2641</v>
      </c>
      <c r="G165" t="s">
        <v>74</v>
      </c>
      <c r="H165" t="s">
        <v>74</v>
      </c>
      <c r="I165" t="s">
        <v>2642</v>
      </c>
      <c r="J165" t="s">
        <v>2643</v>
      </c>
      <c r="K165" t="s">
        <v>74</v>
      </c>
      <c r="L165" t="s">
        <v>74</v>
      </c>
      <c r="M165" t="s">
        <v>78</v>
      </c>
      <c r="N165" t="s">
        <v>79</v>
      </c>
      <c r="O165" t="s">
        <v>74</v>
      </c>
      <c r="P165" t="s">
        <v>74</v>
      </c>
      <c r="Q165" t="s">
        <v>74</v>
      </c>
      <c r="R165" t="s">
        <v>74</v>
      </c>
      <c r="S165" t="s">
        <v>74</v>
      </c>
      <c r="T165" t="s">
        <v>74</v>
      </c>
      <c r="U165" t="s">
        <v>2644</v>
      </c>
      <c r="V165" t="s">
        <v>2645</v>
      </c>
      <c r="W165" t="s">
        <v>2646</v>
      </c>
      <c r="X165" t="s">
        <v>407</v>
      </c>
      <c r="Y165" t="s">
        <v>2647</v>
      </c>
      <c r="Z165" t="s">
        <v>2648</v>
      </c>
      <c r="AA165" t="s">
        <v>2649</v>
      </c>
      <c r="AB165" t="s">
        <v>2650</v>
      </c>
      <c r="AC165" t="s">
        <v>1550</v>
      </c>
      <c r="AD165" t="s">
        <v>1328</v>
      </c>
      <c r="AE165" t="s">
        <v>74</v>
      </c>
      <c r="AF165" t="s">
        <v>74</v>
      </c>
      <c r="AG165">
        <v>39</v>
      </c>
      <c r="AH165">
        <v>52</v>
      </c>
      <c r="AI165">
        <v>56</v>
      </c>
      <c r="AJ165">
        <v>2</v>
      </c>
      <c r="AK165">
        <v>22</v>
      </c>
      <c r="AL165" t="s">
        <v>2651</v>
      </c>
      <c r="AM165" t="s">
        <v>2652</v>
      </c>
      <c r="AN165" t="s">
        <v>2653</v>
      </c>
      <c r="AO165" t="s">
        <v>2654</v>
      </c>
      <c r="AP165" t="s">
        <v>74</v>
      </c>
      <c r="AQ165" t="s">
        <v>74</v>
      </c>
      <c r="AR165" t="s">
        <v>2655</v>
      </c>
      <c r="AS165" t="s">
        <v>2656</v>
      </c>
      <c r="AT165" t="s">
        <v>2635</v>
      </c>
      <c r="AU165">
        <v>2006</v>
      </c>
      <c r="AV165">
        <v>84</v>
      </c>
      <c r="AW165">
        <v>7</v>
      </c>
      <c r="AX165" t="s">
        <v>74</v>
      </c>
      <c r="AY165" t="s">
        <v>74</v>
      </c>
      <c r="AZ165" t="s">
        <v>74</v>
      </c>
      <c r="BA165" t="s">
        <v>74</v>
      </c>
      <c r="BB165">
        <v>1025</v>
      </c>
      <c r="BC165">
        <v>1037</v>
      </c>
      <c r="BD165" t="s">
        <v>74</v>
      </c>
      <c r="BE165" t="s">
        <v>2657</v>
      </c>
      <c r="BF165" t="str">
        <f>HYPERLINK("http://dx.doi.org/10.1139/Z06-071","http://dx.doi.org/10.1139/Z06-071")</f>
        <v>http://dx.doi.org/10.1139/Z06-071</v>
      </c>
      <c r="BG165" t="s">
        <v>74</v>
      </c>
      <c r="BH165" t="s">
        <v>74</v>
      </c>
      <c r="BI165">
        <v>13</v>
      </c>
      <c r="BJ165" t="s">
        <v>1000</v>
      </c>
      <c r="BK165" t="s">
        <v>97</v>
      </c>
      <c r="BL165" t="s">
        <v>1000</v>
      </c>
      <c r="BM165" t="s">
        <v>2658</v>
      </c>
      <c r="BN165" t="s">
        <v>74</v>
      </c>
      <c r="BO165" t="s">
        <v>74</v>
      </c>
      <c r="BP165" t="s">
        <v>74</v>
      </c>
      <c r="BQ165" t="s">
        <v>74</v>
      </c>
      <c r="BR165" t="s">
        <v>100</v>
      </c>
      <c r="BS165" t="s">
        <v>2659</v>
      </c>
      <c r="BT165" t="str">
        <f>HYPERLINK("https%3A%2F%2Fwww.webofscience.com%2Fwos%2Fwoscc%2Ffull-record%2FWOS:000240079200013","View Full Record in Web of Science")</f>
        <v>View Full Record in Web of Science</v>
      </c>
    </row>
    <row r="166" spans="1:72" x14ac:dyDescent="0.15">
      <c r="A166" t="s">
        <v>72</v>
      </c>
      <c r="B166" t="s">
        <v>2660</v>
      </c>
      <c r="C166" t="s">
        <v>74</v>
      </c>
      <c r="D166" t="s">
        <v>74</v>
      </c>
      <c r="E166" t="s">
        <v>74</v>
      </c>
      <c r="F166" t="s">
        <v>2661</v>
      </c>
      <c r="G166" t="s">
        <v>74</v>
      </c>
      <c r="H166" t="s">
        <v>74</v>
      </c>
      <c r="I166" t="s">
        <v>2662</v>
      </c>
      <c r="J166" t="s">
        <v>2663</v>
      </c>
      <c r="K166" t="s">
        <v>74</v>
      </c>
      <c r="L166" t="s">
        <v>74</v>
      </c>
      <c r="M166" t="s">
        <v>78</v>
      </c>
      <c r="N166" t="s">
        <v>79</v>
      </c>
      <c r="O166" t="s">
        <v>74</v>
      </c>
      <c r="P166" t="s">
        <v>74</v>
      </c>
      <c r="Q166" t="s">
        <v>74</v>
      </c>
      <c r="R166" t="s">
        <v>74</v>
      </c>
      <c r="S166" t="s">
        <v>74</v>
      </c>
      <c r="T166" t="s">
        <v>74</v>
      </c>
      <c r="U166" t="s">
        <v>2664</v>
      </c>
      <c r="V166" t="s">
        <v>2665</v>
      </c>
      <c r="W166" t="s">
        <v>2666</v>
      </c>
      <c r="X166" t="s">
        <v>2667</v>
      </c>
      <c r="Y166" t="s">
        <v>2668</v>
      </c>
      <c r="Z166" t="s">
        <v>2669</v>
      </c>
      <c r="AA166" t="s">
        <v>74</v>
      </c>
      <c r="AB166" t="s">
        <v>2670</v>
      </c>
      <c r="AC166" t="s">
        <v>74</v>
      </c>
      <c r="AD166" t="s">
        <v>74</v>
      </c>
      <c r="AE166" t="s">
        <v>74</v>
      </c>
      <c r="AF166" t="s">
        <v>74</v>
      </c>
      <c r="AG166">
        <v>81</v>
      </c>
      <c r="AH166">
        <v>4</v>
      </c>
      <c r="AI166">
        <v>4</v>
      </c>
      <c r="AJ166">
        <v>1</v>
      </c>
      <c r="AK166">
        <v>3</v>
      </c>
      <c r="AL166" t="s">
        <v>994</v>
      </c>
      <c r="AM166" t="s">
        <v>476</v>
      </c>
      <c r="AN166" t="s">
        <v>1551</v>
      </c>
      <c r="AO166" t="s">
        <v>2671</v>
      </c>
      <c r="AP166" t="s">
        <v>2672</v>
      </c>
      <c r="AQ166" t="s">
        <v>74</v>
      </c>
      <c r="AR166" t="s">
        <v>2673</v>
      </c>
      <c r="AS166" t="s">
        <v>2674</v>
      </c>
      <c r="AT166" t="s">
        <v>2635</v>
      </c>
      <c r="AU166">
        <v>2006</v>
      </c>
      <c r="AV166">
        <v>27</v>
      </c>
      <c r="AW166">
        <v>1</v>
      </c>
      <c r="AX166" t="s">
        <v>74</v>
      </c>
      <c r="AY166" t="s">
        <v>74</v>
      </c>
      <c r="AZ166" t="s">
        <v>74</v>
      </c>
      <c r="BA166" t="s">
        <v>74</v>
      </c>
      <c r="BB166">
        <v>83</v>
      </c>
      <c r="BC166">
        <v>99</v>
      </c>
      <c r="BD166" t="s">
        <v>74</v>
      </c>
      <c r="BE166" t="s">
        <v>2675</v>
      </c>
      <c r="BF166" t="str">
        <f>HYPERLINK("http://dx.doi.org/10.1007/s00382-006-0113-0","http://dx.doi.org/10.1007/s00382-006-0113-0")</f>
        <v>http://dx.doi.org/10.1007/s00382-006-0113-0</v>
      </c>
      <c r="BG166" t="s">
        <v>74</v>
      </c>
      <c r="BH166" t="s">
        <v>74</v>
      </c>
      <c r="BI166">
        <v>17</v>
      </c>
      <c r="BJ166" t="s">
        <v>869</v>
      </c>
      <c r="BK166" t="s">
        <v>97</v>
      </c>
      <c r="BL166" t="s">
        <v>869</v>
      </c>
      <c r="BM166" t="s">
        <v>2676</v>
      </c>
      <c r="BN166" t="s">
        <v>74</v>
      </c>
      <c r="BO166" t="s">
        <v>74</v>
      </c>
      <c r="BP166" t="s">
        <v>74</v>
      </c>
      <c r="BQ166" t="s">
        <v>74</v>
      </c>
      <c r="BR166" t="s">
        <v>100</v>
      </c>
      <c r="BS166" t="s">
        <v>2677</v>
      </c>
      <c r="BT166" t="str">
        <f>HYPERLINK("https%3A%2F%2Fwww.webofscience.com%2Fwos%2Fwoscc%2Ffull-record%2FWOS:000237661400005","View Full Record in Web of Science")</f>
        <v>View Full Record in Web of Science</v>
      </c>
    </row>
    <row r="167" spans="1:72" x14ac:dyDescent="0.15">
      <c r="A167" t="s">
        <v>72</v>
      </c>
      <c r="B167" t="s">
        <v>2678</v>
      </c>
      <c r="C167" t="s">
        <v>74</v>
      </c>
      <c r="D167" t="s">
        <v>74</v>
      </c>
      <c r="E167" t="s">
        <v>74</v>
      </c>
      <c r="F167" t="s">
        <v>2679</v>
      </c>
      <c r="G167" t="s">
        <v>74</v>
      </c>
      <c r="H167" t="s">
        <v>74</v>
      </c>
      <c r="I167" t="s">
        <v>2680</v>
      </c>
      <c r="J167" t="s">
        <v>2681</v>
      </c>
      <c r="K167" t="s">
        <v>74</v>
      </c>
      <c r="L167" t="s">
        <v>74</v>
      </c>
      <c r="M167" t="s">
        <v>78</v>
      </c>
      <c r="N167" t="s">
        <v>79</v>
      </c>
      <c r="O167" t="s">
        <v>74</v>
      </c>
      <c r="P167" t="s">
        <v>74</v>
      </c>
      <c r="Q167" t="s">
        <v>74</v>
      </c>
      <c r="R167" t="s">
        <v>74</v>
      </c>
      <c r="S167" t="s">
        <v>74</v>
      </c>
      <c r="T167" t="s">
        <v>2682</v>
      </c>
      <c r="U167" t="s">
        <v>2683</v>
      </c>
      <c r="V167" t="s">
        <v>2684</v>
      </c>
      <c r="W167" t="s">
        <v>2685</v>
      </c>
      <c r="X167" t="s">
        <v>2686</v>
      </c>
      <c r="Y167" t="s">
        <v>2687</v>
      </c>
      <c r="Z167" t="s">
        <v>2688</v>
      </c>
      <c r="AA167" t="s">
        <v>74</v>
      </c>
      <c r="AB167" t="s">
        <v>74</v>
      </c>
      <c r="AC167" t="s">
        <v>74</v>
      </c>
      <c r="AD167" t="s">
        <v>74</v>
      </c>
      <c r="AE167" t="s">
        <v>74</v>
      </c>
      <c r="AF167" t="s">
        <v>74</v>
      </c>
      <c r="AG167">
        <v>44</v>
      </c>
      <c r="AH167">
        <v>42</v>
      </c>
      <c r="AI167">
        <v>54</v>
      </c>
      <c r="AJ167">
        <v>2</v>
      </c>
      <c r="AK167">
        <v>49</v>
      </c>
      <c r="AL167" t="s">
        <v>475</v>
      </c>
      <c r="AM167" t="s">
        <v>476</v>
      </c>
      <c r="AN167" t="s">
        <v>477</v>
      </c>
      <c r="AO167" t="s">
        <v>2689</v>
      </c>
      <c r="AP167" t="s">
        <v>74</v>
      </c>
      <c r="AQ167" t="s">
        <v>74</v>
      </c>
      <c r="AR167" t="s">
        <v>2690</v>
      </c>
      <c r="AS167" t="s">
        <v>2691</v>
      </c>
      <c r="AT167" t="s">
        <v>2635</v>
      </c>
      <c r="AU167">
        <v>2006</v>
      </c>
      <c r="AV167">
        <v>144</v>
      </c>
      <c r="AW167">
        <v>3</v>
      </c>
      <c r="AX167" t="s">
        <v>74</v>
      </c>
      <c r="AY167" t="s">
        <v>74</v>
      </c>
      <c r="AZ167" t="s">
        <v>74</v>
      </c>
      <c r="BA167" t="s">
        <v>74</v>
      </c>
      <c r="BB167">
        <v>290</v>
      </c>
      <c r="BC167">
        <v>300</v>
      </c>
      <c r="BD167" t="s">
        <v>74</v>
      </c>
      <c r="BE167" t="s">
        <v>2692</v>
      </c>
      <c r="BF167" t="str">
        <f>HYPERLINK("http://dx.doi.org/10.1016/j.cbpb.2006.03.006","http://dx.doi.org/10.1016/j.cbpb.2006.03.006")</f>
        <v>http://dx.doi.org/10.1016/j.cbpb.2006.03.006</v>
      </c>
      <c r="BG167" t="s">
        <v>74</v>
      </c>
      <c r="BH167" t="s">
        <v>74</v>
      </c>
      <c r="BI167">
        <v>11</v>
      </c>
      <c r="BJ167" t="s">
        <v>2693</v>
      </c>
      <c r="BK167" t="s">
        <v>97</v>
      </c>
      <c r="BL167" t="s">
        <v>2693</v>
      </c>
      <c r="BM167" t="s">
        <v>2694</v>
      </c>
      <c r="BN167">
        <v>16725360</v>
      </c>
      <c r="BO167" t="s">
        <v>74</v>
      </c>
      <c r="BP167" t="s">
        <v>74</v>
      </c>
      <c r="BQ167" t="s">
        <v>74</v>
      </c>
      <c r="BR167" t="s">
        <v>100</v>
      </c>
      <c r="BS167" t="s">
        <v>2695</v>
      </c>
      <c r="BT167" t="str">
        <f>HYPERLINK("https%3A%2F%2Fwww.webofscience.com%2Fwos%2Fwoscc%2Ffull-record%2FWOS:000238958500004","View Full Record in Web of Science")</f>
        <v>View Full Record in Web of Science</v>
      </c>
    </row>
    <row r="168" spans="1:72" x14ac:dyDescent="0.15">
      <c r="A168" t="s">
        <v>72</v>
      </c>
      <c r="B168" t="s">
        <v>2696</v>
      </c>
      <c r="C168" t="s">
        <v>74</v>
      </c>
      <c r="D168" t="s">
        <v>74</v>
      </c>
      <c r="E168" t="s">
        <v>74</v>
      </c>
      <c r="F168" t="s">
        <v>2697</v>
      </c>
      <c r="G168" t="s">
        <v>74</v>
      </c>
      <c r="H168" t="s">
        <v>74</v>
      </c>
      <c r="I168" t="s">
        <v>2698</v>
      </c>
      <c r="J168" t="s">
        <v>2699</v>
      </c>
      <c r="K168" t="s">
        <v>74</v>
      </c>
      <c r="L168" t="s">
        <v>74</v>
      </c>
      <c r="M168" t="s">
        <v>78</v>
      </c>
      <c r="N168" t="s">
        <v>79</v>
      </c>
      <c r="O168" t="s">
        <v>74</v>
      </c>
      <c r="P168" t="s">
        <v>74</v>
      </c>
      <c r="Q168" t="s">
        <v>74</v>
      </c>
      <c r="R168" t="s">
        <v>74</v>
      </c>
      <c r="S168" t="s">
        <v>74</v>
      </c>
      <c r="T168" t="s">
        <v>2700</v>
      </c>
      <c r="U168" t="s">
        <v>2701</v>
      </c>
      <c r="V168" t="s">
        <v>2702</v>
      </c>
      <c r="W168" t="s">
        <v>2703</v>
      </c>
      <c r="X168" t="s">
        <v>2704</v>
      </c>
      <c r="Y168" t="s">
        <v>2705</v>
      </c>
      <c r="Z168" t="s">
        <v>2706</v>
      </c>
      <c r="AA168" t="s">
        <v>74</v>
      </c>
      <c r="AB168" t="s">
        <v>74</v>
      </c>
      <c r="AC168" t="s">
        <v>74</v>
      </c>
      <c r="AD168" t="s">
        <v>74</v>
      </c>
      <c r="AE168" t="s">
        <v>74</v>
      </c>
      <c r="AF168" t="s">
        <v>74</v>
      </c>
      <c r="AG168">
        <v>69</v>
      </c>
      <c r="AH168">
        <v>53</v>
      </c>
      <c r="AI168">
        <v>59</v>
      </c>
      <c r="AJ168">
        <v>1</v>
      </c>
      <c r="AK168">
        <v>24</v>
      </c>
      <c r="AL168" t="s">
        <v>387</v>
      </c>
      <c r="AM168" t="s">
        <v>388</v>
      </c>
      <c r="AN168" t="s">
        <v>389</v>
      </c>
      <c r="AO168" t="s">
        <v>2707</v>
      </c>
      <c r="AP168" t="s">
        <v>74</v>
      </c>
      <c r="AQ168" t="s">
        <v>74</v>
      </c>
      <c r="AR168" t="s">
        <v>2708</v>
      </c>
      <c r="AS168" t="s">
        <v>2709</v>
      </c>
      <c r="AT168" t="s">
        <v>2635</v>
      </c>
      <c r="AU168">
        <v>2006</v>
      </c>
      <c r="AV168">
        <v>53</v>
      </c>
      <c r="AW168">
        <v>7</v>
      </c>
      <c r="AX168" t="s">
        <v>74</v>
      </c>
      <c r="AY168" t="s">
        <v>74</v>
      </c>
      <c r="AZ168" t="s">
        <v>74</v>
      </c>
      <c r="BA168" t="s">
        <v>74</v>
      </c>
      <c r="BB168">
        <v>1182</v>
      </c>
      <c r="BC168">
        <v>1202</v>
      </c>
      <c r="BD168" t="s">
        <v>74</v>
      </c>
      <c r="BE168" t="s">
        <v>2710</v>
      </c>
      <c r="BF168" t="str">
        <f>HYPERLINK("http://dx.doi.org/10.1016/j.dsr.2006.05.001","http://dx.doi.org/10.1016/j.dsr.2006.05.001")</f>
        <v>http://dx.doi.org/10.1016/j.dsr.2006.05.001</v>
      </c>
      <c r="BG168" t="s">
        <v>74</v>
      </c>
      <c r="BH168" t="s">
        <v>74</v>
      </c>
      <c r="BI168">
        <v>21</v>
      </c>
      <c r="BJ168" t="s">
        <v>1069</v>
      </c>
      <c r="BK168" t="s">
        <v>97</v>
      </c>
      <c r="BL168" t="s">
        <v>1069</v>
      </c>
      <c r="BM168" t="s">
        <v>2711</v>
      </c>
      <c r="BN168" t="s">
        <v>74</v>
      </c>
      <c r="BO168" t="s">
        <v>74</v>
      </c>
      <c r="BP168" t="s">
        <v>74</v>
      </c>
      <c r="BQ168" t="s">
        <v>74</v>
      </c>
      <c r="BR168" t="s">
        <v>100</v>
      </c>
      <c r="BS168" t="s">
        <v>2712</v>
      </c>
      <c r="BT168" t="str">
        <f>HYPERLINK("https%3A%2F%2Fwww.webofscience.com%2Fwos%2Fwoscc%2Ffull-record%2FWOS:000240261700007","View Full Record in Web of Science")</f>
        <v>View Full Record in Web of Science</v>
      </c>
    </row>
    <row r="169" spans="1:72" x14ac:dyDescent="0.15">
      <c r="A169" t="s">
        <v>72</v>
      </c>
      <c r="B169" t="s">
        <v>2696</v>
      </c>
      <c r="C169" t="s">
        <v>74</v>
      </c>
      <c r="D169" t="s">
        <v>74</v>
      </c>
      <c r="E169" t="s">
        <v>74</v>
      </c>
      <c r="F169" t="s">
        <v>2697</v>
      </c>
      <c r="G169" t="s">
        <v>74</v>
      </c>
      <c r="H169" t="s">
        <v>74</v>
      </c>
      <c r="I169" t="s">
        <v>2713</v>
      </c>
      <c r="J169" t="s">
        <v>2699</v>
      </c>
      <c r="K169" t="s">
        <v>74</v>
      </c>
      <c r="L169" t="s">
        <v>74</v>
      </c>
      <c r="M169" t="s">
        <v>78</v>
      </c>
      <c r="N169" t="s">
        <v>79</v>
      </c>
      <c r="O169" t="s">
        <v>74</v>
      </c>
      <c r="P169" t="s">
        <v>74</v>
      </c>
      <c r="Q169" t="s">
        <v>74</v>
      </c>
      <c r="R169" t="s">
        <v>74</v>
      </c>
      <c r="S169" t="s">
        <v>74</v>
      </c>
      <c r="T169" t="s">
        <v>2714</v>
      </c>
      <c r="U169" t="s">
        <v>2715</v>
      </c>
      <c r="V169" t="s">
        <v>2716</v>
      </c>
      <c r="W169" t="s">
        <v>2703</v>
      </c>
      <c r="X169" t="s">
        <v>2704</v>
      </c>
      <c r="Y169" t="s">
        <v>2705</v>
      </c>
      <c r="Z169" t="s">
        <v>2706</v>
      </c>
      <c r="AA169" t="s">
        <v>74</v>
      </c>
      <c r="AB169" t="s">
        <v>74</v>
      </c>
      <c r="AC169" t="s">
        <v>74</v>
      </c>
      <c r="AD169" t="s">
        <v>74</v>
      </c>
      <c r="AE169" t="s">
        <v>74</v>
      </c>
      <c r="AF169" t="s">
        <v>74</v>
      </c>
      <c r="AG169">
        <v>72</v>
      </c>
      <c r="AH169">
        <v>37</v>
      </c>
      <c r="AI169">
        <v>37</v>
      </c>
      <c r="AJ169">
        <v>1</v>
      </c>
      <c r="AK169">
        <v>21</v>
      </c>
      <c r="AL169" t="s">
        <v>387</v>
      </c>
      <c r="AM169" t="s">
        <v>388</v>
      </c>
      <c r="AN169" t="s">
        <v>389</v>
      </c>
      <c r="AO169" t="s">
        <v>2707</v>
      </c>
      <c r="AP169" t="s">
        <v>74</v>
      </c>
      <c r="AQ169" t="s">
        <v>74</v>
      </c>
      <c r="AR169" t="s">
        <v>2708</v>
      </c>
      <c r="AS169" t="s">
        <v>2709</v>
      </c>
      <c r="AT169" t="s">
        <v>2635</v>
      </c>
      <c r="AU169">
        <v>2006</v>
      </c>
      <c r="AV169">
        <v>53</v>
      </c>
      <c r="AW169">
        <v>7</v>
      </c>
      <c r="AX169" t="s">
        <v>74</v>
      </c>
      <c r="AY169" t="s">
        <v>74</v>
      </c>
      <c r="AZ169" t="s">
        <v>74</v>
      </c>
      <c r="BA169" t="s">
        <v>74</v>
      </c>
      <c r="BB169">
        <v>1203</v>
      </c>
      <c r="BC169">
        <v>1223</v>
      </c>
      <c r="BD169" t="s">
        <v>74</v>
      </c>
      <c r="BE169" t="s">
        <v>2717</v>
      </c>
      <c r="BF169" t="str">
        <f>HYPERLINK("http://dx.doi.org/10.1016/j.dsr.2006.05.002","http://dx.doi.org/10.1016/j.dsr.2006.05.002")</f>
        <v>http://dx.doi.org/10.1016/j.dsr.2006.05.002</v>
      </c>
      <c r="BG169" t="s">
        <v>74</v>
      </c>
      <c r="BH169" t="s">
        <v>74</v>
      </c>
      <c r="BI169">
        <v>21</v>
      </c>
      <c r="BJ169" t="s">
        <v>1069</v>
      </c>
      <c r="BK169" t="s">
        <v>97</v>
      </c>
      <c r="BL169" t="s">
        <v>1069</v>
      </c>
      <c r="BM169" t="s">
        <v>2711</v>
      </c>
      <c r="BN169" t="s">
        <v>74</v>
      </c>
      <c r="BO169" t="s">
        <v>74</v>
      </c>
      <c r="BP169" t="s">
        <v>74</v>
      </c>
      <c r="BQ169" t="s">
        <v>74</v>
      </c>
      <c r="BR169" t="s">
        <v>100</v>
      </c>
      <c r="BS169" t="s">
        <v>2718</v>
      </c>
      <c r="BT169" t="str">
        <f>HYPERLINK("https%3A%2F%2Fwww.webofscience.com%2Fwos%2Fwoscc%2Ffull-record%2FWOS:000240261700008","View Full Record in Web of Science")</f>
        <v>View Full Record in Web of Science</v>
      </c>
    </row>
    <row r="170" spans="1:72" x14ac:dyDescent="0.15">
      <c r="A170" t="s">
        <v>72</v>
      </c>
      <c r="B170" t="s">
        <v>2719</v>
      </c>
      <c r="C170" t="s">
        <v>74</v>
      </c>
      <c r="D170" t="s">
        <v>74</v>
      </c>
      <c r="E170" t="s">
        <v>74</v>
      </c>
      <c r="F170" t="s">
        <v>2720</v>
      </c>
      <c r="G170" t="s">
        <v>74</v>
      </c>
      <c r="H170" t="s">
        <v>74</v>
      </c>
      <c r="I170" t="s">
        <v>2721</v>
      </c>
      <c r="J170" t="s">
        <v>2699</v>
      </c>
      <c r="K170" t="s">
        <v>74</v>
      </c>
      <c r="L170" t="s">
        <v>74</v>
      </c>
      <c r="M170" t="s">
        <v>78</v>
      </c>
      <c r="N170" t="s">
        <v>79</v>
      </c>
      <c r="O170" t="s">
        <v>74</v>
      </c>
      <c r="P170" t="s">
        <v>74</v>
      </c>
      <c r="Q170" t="s">
        <v>74</v>
      </c>
      <c r="R170" t="s">
        <v>74</v>
      </c>
      <c r="S170" t="s">
        <v>74</v>
      </c>
      <c r="T170" t="s">
        <v>2722</v>
      </c>
      <c r="U170" t="s">
        <v>2723</v>
      </c>
      <c r="V170" t="s">
        <v>2724</v>
      </c>
      <c r="W170" t="s">
        <v>2725</v>
      </c>
      <c r="X170" t="s">
        <v>2726</v>
      </c>
      <c r="Y170" t="s">
        <v>2727</v>
      </c>
      <c r="Z170" t="s">
        <v>2728</v>
      </c>
      <c r="AA170" t="s">
        <v>2729</v>
      </c>
      <c r="AB170" t="s">
        <v>2730</v>
      </c>
      <c r="AC170" t="s">
        <v>74</v>
      </c>
      <c r="AD170" t="s">
        <v>74</v>
      </c>
      <c r="AE170" t="s">
        <v>74</v>
      </c>
      <c r="AF170" t="s">
        <v>74</v>
      </c>
      <c r="AG170">
        <v>76</v>
      </c>
      <c r="AH170">
        <v>40</v>
      </c>
      <c r="AI170">
        <v>46</v>
      </c>
      <c r="AJ170">
        <v>1</v>
      </c>
      <c r="AK170">
        <v>12</v>
      </c>
      <c r="AL170" t="s">
        <v>387</v>
      </c>
      <c r="AM170" t="s">
        <v>388</v>
      </c>
      <c r="AN170" t="s">
        <v>389</v>
      </c>
      <c r="AO170" t="s">
        <v>2707</v>
      </c>
      <c r="AP170" t="s">
        <v>2731</v>
      </c>
      <c r="AQ170" t="s">
        <v>74</v>
      </c>
      <c r="AR170" t="s">
        <v>2708</v>
      </c>
      <c r="AS170" t="s">
        <v>2709</v>
      </c>
      <c r="AT170" t="s">
        <v>2635</v>
      </c>
      <c r="AU170">
        <v>2006</v>
      </c>
      <c r="AV170">
        <v>53</v>
      </c>
      <c r="AW170">
        <v>7</v>
      </c>
      <c r="AX170" t="s">
        <v>74</v>
      </c>
      <c r="AY170" t="s">
        <v>74</v>
      </c>
      <c r="AZ170" t="s">
        <v>74</v>
      </c>
      <c r="BA170" t="s">
        <v>74</v>
      </c>
      <c r="BB170">
        <v>1224</v>
      </c>
      <c r="BC170">
        <v>1243</v>
      </c>
      <c r="BD170" t="s">
        <v>74</v>
      </c>
      <c r="BE170" t="s">
        <v>2732</v>
      </c>
      <c r="BF170" t="str">
        <f>HYPERLINK("http://dx.doi.org/10.1016/j.dsr.2006.05.005","http://dx.doi.org/10.1016/j.dsr.2006.05.005")</f>
        <v>http://dx.doi.org/10.1016/j.dsr.2006.05.005</v>
      </c>
      <c r="BG170" t="s">
        <v>74</v>
      </c>
      <c r="BH170" t="s">
        <v>74</v>
      </c>
      <c r="BI170">
        <v>20</v>
      </c>
      <c r="BJ170" t="s">
        <v>1069</v>
      </c>
      <c r="BK170" t="s">
        <v>97</v>
      </c>
      <c r="BL170" t="s">
        <v>1069</v>
      </c>
      <c r="BM170" t="s">
        <v>2711</v>
      </c>
      <c r="BN170" t="s">
        <v>74</v>
      </c>
      <c r="BO170" t="s">
        <v>147</v>
      </c>
      <c r="BP170" t="s">
        <v>74</v>
      </c>
      <c r="BQ170" t="s">
        <v>74</v>
      </c>
      <c r="BR170" t="s">
        <v>100</v>
      </c>
      <c r="BS170" t="s">
        <v>2733</v>
      </c>
      <c r="BT170" t="str">
        <f>HYPERLINK("https%3A%2F%2Fwww.webofscience.com%2Fwos%2Fwoscc%2Ffull-record%2FWOS:000240261700009","View Full Record in Web of Science")</f>
        <v>View Full Record in Web of Science</v>
      </c>
    </row>
    <row r="171" spans="1:72" x14ac:dyDescent="0.15">
      <c r="A171" t="s">
        <v>72</v>
      </c>
      <c r="B171" t="s">
        <v>2734</v>
      </c>
      <c r="C171" t="s">
        <v>74</v>
      </c>
      <c r="D171" t="s">
        <v>74</v>
      </c>
      <c r="E171" t="s">
        <v>74</v>
      </c>
      <c r="F171" t="s">
        <v>2735</v>
      </c>
      <c r="G171" t="s">
        <v>74</v>
      </c>
      <c r="H171" t="s">
        <v>74</v>
      </c>
      <c r="I171" t="s">
        <v>2736</v>
      </c>
      <c r="J171" t="s">
        <v>2699</v>
      </c>
      <c r="K171" t="s">
        <v>74</v>
      </c>
      <c r="L171" t="s">
        <v>74</v>
      </c>
      <c r="M171" t="s">
        <v>78</v>
      </c>
      <c r="N171" t="s">
        <v>79</v>
      </c>
      <c r="O171" t="s">
        <v>74</v>
      </c>
      <c r="P171" t="s">
        <v>74</v>
      </c>
      <c r="Q171" t="s">
        <v>74</v>
      </c>
      <c r="R171" t="s">
        <v>74</v>
      </c>
      <c r="S171" t="s">
        <v>74</v>
      </c>
      <c r="T171" t="s">
        <v>2737</v>
      </c>
      <c r="U171" t="s">
        <v>2738</v>
      </c>
      <c r="V171" t="s">
        <v>2739</v>
      </c>
      <c r="W171" t="s">
        <v>2740</v>
      </c>
      <c r="X171" t="s">
        <v>2741</v>
      </c>
      <c r="Y171" t="s">
        <v>2742</v>
      </c>
      <c r="Z171" t="s">
        <v>2743</v>
      </c>
      <c r="AA171" t="s">
        <v>74</v>
      </c>
      <c r="AB171" t="s">
        <v>74</v>
      </c>
      <c r="AC171" t="s">
        <v>74</v>
      </c>
      <c r="AD171" t="s">
        <v>74</v>
      </c>
      <c r="AE171" t="s">
        <v>74</v>
      </c>
      <c r="AF171" t="s">
        <v>74</v>
      </c>
      <c r="AG171">
        <v>20</v>
      </c>
      <c r="AH171">
        <v>68</v>
      </c>
      <c r="AI171">
        <v>76</v>
      </c>
      <c r="AJ171">
        <v>1</v>
      </c>
      <c r="AK171">
        <v>15</v>
      </c>
      <c r="AL171" t="s">
        <v>387</v>
      </c>
      <c r="AM171" t="s">
        <v>388</v>
      </c>
      <c r="AN171" t="s">
        <v>389</v>
      </c>
      <c r="AO171" t="s">
        <v>2707</v>
      </c>
      <c r="AP171" t="s">
        <v>2731</v>
      </c>
      <c r="AQ171" t="s">
        <v>74</v>
      </c>
      <c r="AR171" t="s">
        <v>2708</v>
      </c>
      <c r="AS171" t="s">
        <v>2709</v>
      </c>
      <c r="AT171" t="s">
        <v>2635</v>
      </c>
      <c r="AU171">
        <v>2006</v>
      </c>
      <c r="AV171">
        <v>53</v>
      </c>
      <c r="AW171">
        <v>7</v>
      </c>
      <c r="AX171" t="s">
        <v>74</v>
      </c>
      <c r="AY171" t="s">
        <v>74</v>
      </c>
      <c r="AZ171" t="s">
        <v>74</v>
      </c>
      <c r="BA171" t="s">
        <v>74</v>
      </c>
      <c r="BB171">
        <v>1244</v>
      </c>
      <c r="BC171">
        <v>1252</v>
      </c>
      <c r="BD171" t="s">
        <v>74</v>
      </c>
      <c r="BE171" t="s">
        <v>2744</v>
      </c>
      <c r="BF171" t="str">
        <f>HYPERLINK("http://dx.doi.org/10.1016/j.dsr.2006.04.003","http://dx.doi.org/10.1016/j.dsr.2006.04.003")</f>
        <v>http://dx.doi.org/10.1016/j.dsr.2006.04.003</v>
      </c>
      <c r="BG171" t="s">
        <v>74</v>
      </c>
      <c r="BH171" t="s">
        <v>74</v>
      </c>
      <c r="BI171">
        <v>9</v>
      </c>
      <c r="BJ171" t="s">
        <v>1069</v>
      </c>
      <c r="BK171" t="s">
        <v>97</v>
      </c>
      <c r="BL171" t="s">
        <v>1069</v>
      </c>
      <c r="BM171" t="s">
        <v>2711</v>
      </c>
      <c r="BN171" t="s">
        <v>74</v>
      </c>
      <c r="BO171" t="s">
        <v>74</v>
      </c>
      <c r="BP171" t="s">
        <v>74</v>
      </c>
      <c r="BQ171" t="s">
        <v>74</v>
      </c>
      <c r="BR171" t="s">
        <v>100</v>
      </c>
      <c r="BS171" t="s">
        <v>2745</v>
      </c>
      <c r="BT171" t="str">
        <f>HYPERLINK("https%3A%2F%2Fwww.webofscience.com%2Fwos%2Fwoscc%2Ffull-record%2FWOS:000240261700010","View Full Record in Web of Science")</f>
        <v>View Full Record in Web of Science</v>
      </c>
    </row>
    <row r="172" spans="1:72" x14ac:dyDescent="0.15">
      <c r="A172" t="s">
        <v>72</v>
      </c>
      <c r="B172" t="s">
        <v>2746</v>
      </c>
      <c r="C172" t="s">
        <v>74</v>
      </c>
      <c r="D172" t="s">
        <v>74</v>
      </c>
      <c r="E172" t="s">
        <v>74</v>
      </c>
      <c r="F172" t="s">
        <v>2747</v>
      </c>
      <c r="G172" t="s">
        <v>74</v>
      </c>
      <c r="H172" t="s">
        <v>74</v>
      </c>
      <c r="I172" t="s">
        <v>2748</v>
      </c>
      <c r="J172" t="s">
        <v>2749</v>
      </c>
      <c r="K172" t="s">
        <v>74</v>
      </c>
      <c r="L172" t="s">
        <v>74</v>
      </c>
      <c r="M172" t="s">
        <v>2750</v>
      </c>
      <c r="N172" t="s">
        <v>79</v>
      </c>
      <c r="O172" t="s">
        <v>74</v>
      </c>
      <c r="P172" t="s">
        <v>74</v>
      </c>
      <c r="Q172" t="s">
        <v>74</v>
      </c>
      <c r="R172" t="s">
        <v>74</v>
      </c>
      <c r="S172" t="s">
        <v>74</v>
      </c>
      <c r="T172" t="s">
        <v>74</v>
      </c>
      <c r="U172" t="s">
        <v>74</v>
      </c>
      <c r="V172" t="s">
        <v>74</v>
      </c>
      <c r="W172" t="s">
        <v>74</v>
      </c>
      <c r="X172" t="s">
        <v>74</v>
      </c>
      <c r="Y172" t="s">
        <v>74</v>
      </c>
      <c r="Z172" t="s">
        <v>74</v>
      </c>
      <c r="AA172" t="s">
        <v>74</v>
      </c>
      <c r="AB172" t="s">
        <v>74</v>
      </c>
      <c r="AC172" t="s">
        <v>74</v>
      </c>
      <c r="AD172" t="s">
        <v>74</v>
      </c>
      <c r="AE172" t="s">
        <v>74</v>
      </c>
      <c r="AF172" t="s">
        <v>74</v>
      </c>
      <c r="AG172">
        <v>0</v>
      </c>
      <c r="AH172">
        <v>0</v>
      </c>
      <c r="AI172">
        <v>0</v>
      </c>
      <c r="AJ172">
        <v>0</v>
      </c>
      <c r="AK172">
        <v>0</v>
      </c>
      <c r="AL172" t="s">
        <v>2751</v>
      </c>
      <c r="AM172" t="s">
        <v>2752</v>
      </c>
      <c r="AN172" t="s">
        <v>2753</v>
      </c>
      <c r="AO172" t="s">
        <v>2754</v>
      </c>
      <c r="AP172" t="s">
        <v>74</v>
      </c>
      <c r="AQ172" t="s">
        <v>74</v>
      </c>
      <c r="AR172" t="s">
        <v>2755</v>
      </c>
      <c r="AS172" t="s">
        <v>2756</v>
      </c>
      <c r="AT172" t="s">
        <v>2757</v>
      </c>
      <c r="AU172">
        <v>2006</v>
      </c>
      <c r="AV172" t="s">
        <v>74</v>
      </c>
      <c r="AW172">
        <v>768</v>
      </c>
      <c r="AX172" t="s">
        <v>74</v>
      </c>
      <c r="AY172" t="s">
        <v>74</v>
      </c>
      <c r="AZ172" t="s">
        <v>74</v>
      </c>
      <c r="BA172" t="s">
        <v>74</v>
      </c>
      <c r="BB172">
        <v>108</v>
      </c>
      <c r="BC172">
        <v>108</v>
      </c>
      <c r="BD172" t="s">
        <v>74</v>
      </c>
      <c r="BE172" t="s">
        <v>74</v>
      </c>
      <c r="BF172" t="s">
        <v>74</v>
      </c>
      <c r="BG172" t="s">
        <v>74</v>
      </c>
      <c r="BH172" t="s">
        <v>74</v>
      </c>
      <c r="BI172">
        <v>1</v>
      </c>
      <c r="BJ172" t="s">
        <v>2758</v>
      </c>
      <c r="BK172" t="s">
        <v>2759</v>
      </c>
      <c r="BL172" t="s">
        <v>2758</v>
      </c>
      <c r="BM172" t="s">
        <v>2760</v>
      </c>
      <c r="BN172" t="s">
        <v>74</v>
      </c>
      <c r="BO172" t="s">
        <v>74</v>
      </c>
      <c r="BP172" t="s">
        <v>74</v>
      </c>
      <c r="BQ172" t="s">
        <v>74</v>
      </c>
      <c r="BR172" t="s">
        <v>100</v>
      </c>
      <c r="BS172" t="s">
        <v>2761</v>
      </c>
      <c r="BT172" t="str">
        <f>HYPERLINK("https%3A%2F%2Fwww.webofscience.com%2Fwos%2Fwoscc%2Ffull-record%2FWOS:000238945800059","View Full Record in Web of Science")</f>
        <v>View Full Record in Web of Science</v>
      </c>
    </row>
    <row r="173" spans="1:72" x14ac:dyDescent="0.15">
      <c r="A173" t="s">
        <v>72</v>
      </c>
      <c r="B173" t="s">
        <v>2762</v>
      </c>
      <c r="C173" t="s">
        <v>74</v>
      </c>
      <c r="D173" t="s">
        <v>74</v>
      </c>
      <c r="E173" t="s">
        <v>74</v>
      </c>
      <c r="F173" t="s">
        <v>2763</v>
      </c>
      <c r="G173" t="s">
        <v>74</v>
      </c>
      <c r="H173" t="s">
        <v>74</v>
      </c>
      <c r="I173" t="s">
        <v>2764</v>
      </c>
      <c r="J173" t="s">
        <v>2765</v>
      </c>
      <c r="K173" t="s">
        <v>74</v>
      </c>
      <c r="L173" t="s">
        <v>74</v>
      </c>
      <c r="M173" t="s">
        <v>78</v>
      </c>
      <c r="N173" t="s">
        <v>79</v>
      </c>
      <c r="O173" t="s">
        <v>74</v>
      </c>
      <c r="P173" t="s">
        <v>74</v>
      </c>
      <c r="Q173" t="s">
        <v>74</v>
      </c>
      <c r="R173" t="s">
        <v>74</v>
      </c>
      <c r="S173" t="s">
        <v>74</v>
      </c>
      <c r="T173" t="s">
        <v>74</v>
      </c>
      <c r="U173" t="s">
        <v>2766</v>
      </c>
      <c r="V173" t="s">
        <v>2767</v>
      </c>
      <c r="W173" t="s">
        <v>2768</v>
      </c>
      <c r="X173" t="s">
        <v>2769</v>
      </c>
      <c r="Y173" t="s">
        <v>2770</v>
      </c>
      <c r="Z173" t="s">
        <v>2771</v>
      </c>
      <c r="AA173" t="s">
        <v>2772</v>
      </c>
      <c r="AB173" t="s">
        <v>2773</v>
      </c>
      <c r="AC173" t="s">
        <v>74</v>
      </c>
      <c r="AD173" t="s">
        <v>74</v>
      </c>
      <c r="AE173" t="s">
        <v>74</v>
      </c>
      <c r="AF173" t="s">
        <v>74</v>
      </c>
      <c r="AG173">
        <v>76</v>
      </c>
      <c r="AH173">
        <v>70</v>
      </c>
      <c r="AI173">
        <v>75</v>
      </c>
      <c r="AJ173">
        <v>0</v>
      </c>
      <c r="AK173">
        <v>15</v>
      </c>
      <c r="AL173" t="s">
        <v>115</v>
      </c>
      <c r="AM173" t="s">
        <v>116</v>
      </c>
      <c r="AN173" t="s">
        <v>117</v>
      </c>
      <c r="AO173" t="s">
        <v>2774</v>
      </c>
      <c r="AP173" t="s">
        <v>2775</v>
      </c>
      <c r="AQ173" t="s">
        <v>74</v>
      </c>
      <c r="AR173" t="s">
        <v>2776</v>
      </c>
      <c r="AS173" t="s">
        <v>2777</v>
      </c>
      <c r="AT173" t="s">
        <v>2635</v>
      </c>
      <c r="AU173">
        <v>2006</v>
      </c>
      <c r="AV173">
        <v>8</v>
      </c>
      <c r="AW173">
        <v>7</v>
      </c>
      <c r="AX173" t="s">
        <v>74</v>
      </c>
      <c r="AY173" t="s">
        <v>74</v>
      </c>
      <c r="AZ173" t="s">
        <v>74</v>
      </c>
      <c r="BA173" t="s">
        <v>74</v>
      </c>
      <c r="BB173">
        <v>1177</v>
      </c>
      <c r="BC173">
        <v>1190</v>
      </c>
      <c r="BD173" t="s">
        <v>74</v>
      </c>
      <c r="BE173" t="s">
        <v>2778</v>
      </c>
      <c r="BF173" t="str">
        <f>HYPERLINK("http://dx.doi.org/10.1111/j.1462-2920.2006.01007.x","http://dx.doi.org/10.1111/j.1462-2920.2006.01007.x")</f>
        <v>http://dx.doi.org/10.1111/j.1462-2920.2006.01007.x</v>
      </c>
      <c r="BG173" t="s">
        <v>74</v>
      </c>
      <c r="BH173" t="s">
        <v>74</v>
      </c>
      <c r="BI173">
        <v>14</v>
      </c>
      <c r="BJ173" t="s">
        <v>587</v>
      </c>
      <c r="BK173" t="s">
        <v>97</v>
      </c>
      <c r="BL173" t="s">
        <v>587</v>
      </c>
      <c r="BM173" t="s">
        <v>2779</v>
      </c>
      <c r="BN173">
        <v>16817926</v>
      </c>
      <c r="BO173" t="s">
        <v>74</v>
      </c>
      <c r="BP173" t="s">
        <v>74</v>
      </c>
      <c r="BQ173" t="s">
        <v>74</v>
      </c>
      <c r="BR173" t="s">
        <v>100</v>
      </c>
      <c r="BS173" t="s">
        <v>2780</v>
      </c>
      <c r="BT173" t="str">
        <f>HYPERLINK("https%3A%2F%2Fwww.webofscience.com%2Fwos%2Fwoscc%2Ffull-record%2FWOS:000237954600005","View Full Record in Web of Science")</f>
        <v>View Full Record in Web of Science</v>
      </c>
    </row>
    <row r="174" spans="1:72" x14ac:dyDescent="0.15">
      <c r="A174" t="s">
        <v>72</v>
      </c>
      <c r="B174" t="s">
        <v>2781</v>
      </c>
      <c r="C174" t="s">
        <v>74</v>
      </c>
      <c r="D174" t="s">
        <v>74</v>
      </c>
      <c r="E174" t="s">
        <v>74</v>
      </c>
      <c r="F174" t="s">
        <v>2782</v>
      </c>
      <c r="G174" t="s">
        <v>74</v>
      </c>
      <c r="H174" t="s">
        <v>74</v>
      </c>
      <c r="I174" t="s">
        <v>2783</v>
      </c>
      <c r="J174" t="s">
        <v>2784</v>
      </c>
      <c r="K174" t="s">
        <v>74</v>
      </c>
      <c r="L174" t="s">
        <v>74</v>
      </c>
      <c r="M174" t="s">
        <v>78</v>
      </c>
      <c r="N174" t="s">
        <v>79</v>
      </c>
      <c r="O174" t="s">
        <v>74</v>
      </c>
      <c r="P174" t="s">
        <v>74</v>
      </c>
      <c r="Q174" t="s">
        <v>74</v>
      </c>
      <c r="R174" t="s">
        <v>74</v>
      </c>
      <c r="S174" t="s">
        <v>74</v>
      </c>
      <c r="T174" t="s">
        <v>2785</v>
      </c>
      <c r="U174" t="s">
        <v>74</v>
      </c>
      <c r="V174" t="s">
        <v>2786</v>
      </c>
      <c r="W174" t="s">
        <v>2787</v>
      </c>
      <c r="X174" t="s">
        <v>74</v>
      </c>
      <c r="Y174" t="s">
        <v>2788</v>
      </c>
      <c r="Z174" t="s">
        <v>2789</v>
      </c>
      <c r="AA174" t="s">
        <v>74</v>
      </c>
      <c r="AB174" t="s">
        <v>74</v>
      </c>
      <c r="AC174" t="s">
        <v>74</v>
      </c>
      <c r="AD174" t="s">
        <v>74</v>
      </c>
      <c r="AE174" t="s">
        <v>74</v>
      </c>
      <c r="AF174" t="s">
        <v>74</v>
      </c>
      <c r="AG174">
        <v>16</v>
      </c>
      <c r="AH174">
        <v>43</v>
      </c>
      <c r="AI174">
        <v>45</v>
      </c>
      <c r="AJ174">
        <v>0</v>
      </c>
      <c r="AK174">
        <v>6</v>
      </c>
      <c r="AL174" t="s">
        <v>2790</v>
      </c>
      <c r="AM174" t="s">
        <v>2791</v>
      </c>
      <c r="AN174" t="s">
        <v>2792</v>
      </c>
      <c r="AO174" t="s">
        <v>2793</v>
      </c>
      <c r="AP174" t="s">
        <v>2794</v>
      </c>
      <c r="AQ174" t="s">
        <v>74</v>
      </c>
      <c r="AR174" t="s">
        <v>2795</v>
      </c>
      <c r="AS174" t="s">
        <v>2796</v>
      </c>
      <c r="AT174" t="s">
        <v>2635</v>
      </c>
      <c r="AU174">
        <v>2006</v>
      </c>
      <c r="AV174">
        <v>42</v>
      </c>
      <c r="AW174">
        <v>2</v>
      </c>
      <c r="AX174" t="s">
        <v>74</v>
      </c>
      <c r="AY174" t="s">
        <v>74</v>
      </c>
      <c r="AZ174" t="s">
        <v>74</v>
      </c>
      <c r="BA174" t="s">
        <v>74</v>
      </c>
      <c r="BB174">
        <v>115</v>
      </c>
      <c r="BC174">
        <v>123</v>
      </c>
      <c r="BD174" t="s">
        <v>74</v>
      </c>
      <c r="BE174" t="s">
        <v>2797</v>
      </c>
      <c r="BF174" t="str">
        <f>HYPERLINK("http://dx.doi.org/10.1016/j.ejop.2006.02.001","http://dx.doi.org/10.1016/j.ejop.2006.02.001")</f>
        <v>http://dx.doi.org/10.1016/j.ejop.2006.02.001</v>
      </c>
      <c r="BG174" t="s">
        <v>74</v>
      </c>
      <c r="BH174" t="s">
        <v>74</v>
      </c>
      <c r="BI174">
        <v>9</v>
      </c>
      <c r="BJ174" t="s">
        <v>587</v>
      </c>
      <c r="BK174" t="s">
        <v>97</v>
      </c>
      <c r="BL174" t="s">
        <v>587</v>
      </c>
      <c r="BM174" t="s">
        <v>2798</v>
      </c>
      <c r="BN174">
        <v>17070757</v>
      </c>
      <c r="BO174" t="s">
        <v>74</v>
      </c>
      <c r="BP174" t="s">
        <v>74</v>
      </c>
      <c r="BQ174" t="s">
        <v>74</v>
      </c>
      <c r="BR174" t="s">
        <v>100</v>
      </c>
      <c r="BS174" t="s">
        <v>2799</v>
      </c>
      <c r="BT174" t="str">
        <f>HYPERLINK("https%3A%2F%2Fwww.webofscience.com%2Fwos%2Fwoscc%2Ffull-record%2FWOS:000239378300005","View Full Record in Web of Science")</f>
        <v>View Full Record in Web of Science</v>
      </c>
    </row>
    <row r="175" spans="1:72" x14ac:dyDescent="0.15">
      <c r="A175" t="s">
        <v>72</v>
      </c>
      <c r="B175" t="s">
        <v>2800</v>
      </c>
      <c r="C175" t="s">
        <v>74</v>
      </c>
      <c r="D175" t="s">
        <v>74</v>
      </c>
      <c r="E175" t="s">
        <v>74</v>
      </c>
      <c r="F175" t="s">
        <v>2801</v>
      </c>
      <c r="G175" t="s">
        <v>74</v>
      </c>
      <c r="H175" t="s">
        <v>74</v>
      </c>
      <c r="I175" t="s">
        <v>2802</v>
      </c>
      <c r="J175" t="s">
        <v>614</v>
      </c>
      <c r="K175" t="s">
        <v>74</v>
      </c>
      <c r="L175" t="s">
        <v>74</v>
      </c>
      <c r="M175" t="s">
        <v>78</v>
      </c>
      <c r="N175" t="s">
        <v>79</v>
      </c>
      <c r="O175" t="s">
        <v>74</v>
      </c>
      <c r="P175" t="s">
        <v>74</v>
      </c>
      <c r="Q175" t="s">
        <v>74</v>
      </c>
      <c r="R175" t="s">
        <v>74</v>
      </c>
      <c r="S175" t="s">
        <v>74</v>
      </c>
      <c r="T175" t="s">
        <v>74</v>
      </c>
      <c r="U175" t="s">
        <v>2803</v>
      </c>
      <c r="V175" t="s">
        <v>2804</v>
      </c>
      <c r="W175" t="s">
        <v>2805</v>
      </c>
      <c r="X175" t="s">
        <v>2806</v>
      </c>
      <c r="Y175" t="s">
        <v>2807</v>
      </c>
      <c r="Z175" t="s">
        <v>2808</v>
      </c>
      <c r="AA175" t="s">
        <v>74</v>
      </c>
      <c r="AB175" t="s">
        <v>74</v>
      </c>
      <c r="AC175" t="s">
        <v>74</v>
      </c>
      <c r="AD175" t="s">
        <v>74</v>
      </c>
      <c r="AE175" t="s">
        <v>74</v>
      </c>
      <c r="AF175" t="s">
        <v>74</v>
      </c>
      <c r="AG175">
        <v>48</v>
      </c>
      <c r="AH175">
        <v>20</v>
      </c>
      <c r="AI175">
        <v>22</v>
      </c>
      <c r="AJ175">
        <v>1</v>
      </c>
      <c r="AK175">
        <v>24</v>
      </c>
      <c r="AL175" t="s">
        <v>387</v>
      </c>
      <c r="AM175" t="s">
        <v>388</v>
      </c>
      <c r="AN175" t="s">
        <v>389</v>
      </c>
      <c r="AO175" t="s">
        <v>622</v>
      </c>
      <c r="AP175" t="s">
        <v>623</v>
      </c>
      <c r="AQ175" t="s">
        <v>74</v>
      </c>
      <c r="AR175" t="s">
        <v>624</v>
      </c>
      <c r="AS175" t="s">
        <v>625</v>
      </c>
      <c r="AT175" t="s">
        <v>2809</v>
      </c>
      <c r="AU175">
        <v>2006</v>
      </c>
      <c r="AV175">
        <v>70</v>
      </c>
      <c r="AW175">
        <v>13</v>
      </c>
      <c r="AX175" t="s">
        <v>74</v>
      </c>
      <c r="AY175" t="s">
        <v>74</v>
      </c>
      <c r="AZ175" t="s">
        <v>74</v>
      </c>
      <c r="BA175" t="s">
        <v>74</v>
      </c>
      <c r="BB175">
        <v>3275</v>
      </c>
      <c r="BC175">
        <v>3289</v>
      </c>
      <c r="BD175" t="s">
        <v>74</v>
      </c>
      <c r="BE175" t="s">
        <v>2810</v>
      </c>
      <c r="BF175" t="str">
        <f>HYPERLINK("http://dx.doi.org/10.1016/j.gca.2006.04.004","http://dx.doi.org/10.1016/j.gca.2006.04.004")</f>
        <v>http://dx.doi.org/10.1016/j.gca.2006.04.004</v>
      </c>
      <c r="BG175" t="s">
        <v>74</v>
      </c>
      <c r="BH175" t="s">
        <v>74</v>
      </c>
      <c r="BI175">
        <v>15</v>
      </c>
      <c r="BJ175" t="s">
        <v>608</v>
      </c>
      <c r="BK175" t="s">
        <v>97</v>
      </c>
      <c r="BL175" t="s">
        <v>608</v>
      </c>
      <c r="BM175" t="s">
        <v>2811</v>
      </c>
      <c r="BN175" t="s">
        <v>74</v>
      </c>
      <c r="BO175" t="s">
        <v>74</v>
      </c>
      <c r="BP175" t="s">
        <v>74</v>
      </c>
      <c r="BQ175" t="s">
        <v>74</v>
      </c>
      <c r="BR175" t="s">
        <v>100</v>
      </c>
      <c r="BS175" t="s">
        <v>2812</v>
      </c>
      <c r="BT175" t="str">
        <f>HYPERLINK("https%3A%2F%2Fwww.webofscience.com%2Fwos%2Fwoscc%2Ffull-record%2FWOS:000238965400005","View Full Record in Web of Science")</f>
        <v>View Full Record in Web of Science</v>
      </c>
    </row>
    <row r="176" spans="1:72" x14ac:dyDescent="0.15">
      <c r="A176" t="s">
        <v>72</v>
      </c>
      <c r="B176" t="s">
        <v>2813</v>
      </c>
      <c r="C176" t="s">
        <v>74</v>
      </c>
      <c r="D176" t="s">
        <v>74</v>
      </c>
      <c r="E176" t="s">
        <v>74</v>
      </c>
      <c r="F176" t="s">
        <v>2814</v>
      </c>
      <c r="G176" t="s">
        <v>74</v>
      </c>
      <c r="H176" t="s">
        <v>74</v>
      </c>
      <c r="I176" t="s">
        <v>2815</v>
      </c>
      <c r="J176" t="s">
        <v>2816</v>
      </c>
      <c r="K176" t="s">
        <v>74</v>
      </c>
      <c r="L176" t="s">
        <v>74</v>
      </c>
      <c r="M176" t="s">
        <v>78</v>
      </c>
      <c r="N176" t="s">
        <v>79</v>
      </c>
      <c r="O176" t="s">
        <v>74</v>
      </c>
      <c r="P176" t="s">
        <v>74</v>
      </c>
      <c r="Q176" t="s">
        <v>74</v>
      </c>
      <c r="R176" t="s">
        <v>74</v>
      </c>
      <c r="S176" t="s">
        <v>74</v>
      </c>
      <c r="T176" t="s">
        <v>2817</v>
      </c>
      <c r="U176" t="s">
        <v>2818</v>
      </c>
      <c r="V176" t="s">
        <v>2819</v>
      </c>
      <c r="W176" t="s">
        <v>2820</v>
      </c>
      <c r="X176" t="s">
        <v>2821</v>
      </c>
      <c r="Y176" t="s">
        <v>2822</v>
      </c>
      <c r="Z176" t="s">
        <v>2823</v>
      </c>
      <c r="AA176" t="s">
        <v>2824</v>
      </c>
      <c r="AB176" t="s">
        <v>2825</v>
      </c>
      <c r="AC176" t="s">
        <v>74</v>
      </c>
      <c r="AD176" t="s">
        <v>74</v>
      </c>
      <c r="AE176" t="s">
        <v>74</v>
      </c>
      <c r="AF176" t="s">
        <v>74</v>
      </c>
      <c r="AG176">
        <v>53</v>
      </c>
      <c r="AH176">
        <v>59</v>
      </c>
      <c r="AI176">
        <v>61</v>
      </c>
      <c r="AJ176">
        <v>0</v>
      </c>
      <c r="AK176">
        <v>19</v>
      </c>
      <c r="AL176" t="s">
        <v>742</v>
      </c>
      <c r="AM176" t="s">
        <v>161</v>
      </c>
      <c r="AN176" t="s">
        <v>743</v>
      </c>
      <c r="AO176" t="s">
        <v>2826</v>
      </c>
      <c r="AP176" t="s">
        <v>2827</v>
      </c>
      <c r="AQ176" t="s">
        <v>74</v>
      </c>
      <c r="AR176" t="s">
        <v>2828</v>
      </c>
      <c r="AS176" t="s">
        <v>2829</v>
      </c>
      <c r="AT176" t="s">
        <v>2757</v>
      </c>
      <c r="AU176">
        <v>2006</v>
      </c>
      <c r="AV176">
        <v>118</v>
      </c>
      <c r="AW176" t="s">
        <v>2830</v>
      </c>
      <c r="AX176" t="s">
        <v>74</v>
      </c>
      <c r="AY176" t="s">
        <v>74</v>
      </c>
      <c r="AZ176" t="s">
        <v>74</v>
      </c>
      <c r="BA176" t="s">
        <v>74</v>
      </c>
      <c r="BB176">
        <v>991</v>
      </c>
      <c r="BC176">
        <v>1005</v>
      </c>
      <c r="BD176" t="s">
        <v>74</v>
      </c>
      <c r="BE176" t="s">
        <v>2831</v>
      </c>
      <c r="BF176" t="str">
        <f>HYPERLINK("http://dx.doi.org/10.1130/B25675.1","http://dx.doi.org/10.1130/B25675.1")</f>
        <v>http://dx.doi.org/10.1130/B25675.1</v>
      </c>
      <c r="BG176" t="s">
        <v>74</v>
      </c>
      <c r="BH176" t="s">
        <v>74</v>
      </c>
      <c r="BI176">
        <v>15</v>
      </c>
      <c r="BJ176" t="s">
        <v>527</v>
      </c>
      <c r="BK176" t="s">
        <v>97</v>
      </c>
      <c r="BL176" t="s">
        <v>528</v>
      </c>
      <c r="BM176" t="s">
        <v>2832</v>
      </c>
      <c r="BN176" t="s">
        <v>74</v>
      </c>
      <c r="BO176" t="s">
        <v>74</v>
      </c>
      <c r="BP176" t="s">
        <v>74</v>
      </c>
      <c r="BQ176" t="s">
        <v>74</v>
      </c>
      <c r="BR176" t="s">
        <v>100</v>
      </c>
      <c r="BS176" t="s">
        <v>2833</v>
      </c>
      <c r="BT176" t="str">
        <f>HYPERLINK("https%3A%2F%2Fwww.webofscience.com%2Fwos%2Fwoscc%2Ffull-record%2FWOS:000238698100013","View Full Record in Web of Science")</f>
        <v>View Full Record in Web of Science</v>
      </c>
    </row>
    <row r="177" spans="1:72" x14ac:dyDescent="0.15">
      <c r="A177" t="s">
        <v>72</v>
      </c>
      <c r="B177" t="s">
        <v>2834</v>
      </c>
      <c r="C177" t="s">
        <v>74</v>
      </c>
      <c r="D177" t="s">
        <v>74</v>
      </c>
      <c r="E177" t="s">
        <v>74</v>
      </c>
      <c r="F177" t="s">
        <v>2835</v>
      </c>
      <c r="G177" t="s">
        <v>74</v>
      </c>
      <c r="H177" t="s">
        <v>74</v>
      </c>
      <c r="I177" t="s">
        <v>2836</v>
      </c>
      <c r="J177" t="s">
        <v>733</v>
      </c>
      <c r="K177" t="s">
        <v>74</v>
      </c>
      <c r="L177" t="s">
        <v>74</v>
      </c>
      <c r="M177" t="s">
        <v>78</v>
      </c>
      <c r="N177" t="s">
        <v>79</v>
      </c>
      <c r="O177" t="s">
        <v>74</v>
      </c>
      <c r="P177" t="s">
        <v>74</v>
      </c>
      <c r="Q177" t="s">
        <v>74</v>
      </c>
      <c r="R177" t="s">
        <v>74</v>
      </c>
      <c r="S177" t="s">
        <v>74</v>
      </c>
      <c r="T177" t="s">
        <v>2837</v>
      </c>
      <c r="U177" t="s">
        <v>2838</v>
      </c>
      <c r="V177" t="s">
        <v>2839</v>
      </c>
      <c r="W177" t="s">
        <v>2840</v>
      </c>
      <c r="X177" t="s">
        <v>2841</v>
      </c>
      <c r="Y177" t="s">
        <v>2842</v>
      </c>
      <c r="Z177" t="s">
        <v>74</v>
      </c>
      <c r="AA177" t="s">
        <v>2843</v>
      </c>
      <c r="AB177" t="s">
        <v>2844</v>
      </c>
      <c r="AC177" t="s">
        <v>74</v>
      </c>
      <c r="AD177" t="s">
        <v>74</v>
      </c>
      <c r="AE177" t="s">
        <v>74</v>
      </c>
      <c r="AF177" t="s">
        <v>74</v>
      </c>
      <c r="AG177">
        <v>29</v>
      </c>
      <c r="AH177">
        <v>112</v>
      </c>
      <c r="AI177">
        <v>134</v>
      </c>
      <c r="AJ177">
        <v>0</v>
      </c>
      <c r="AK177">
        <v>38</v>
      </c>
      <c r="AL177" t="s">
        <v>742</v>
      </c>
      <c r="AM177" t="s">
        <v>161</v>
      </c>
      <c r="AN177" t="s">
        <v>743</v>
      </c>
      <c r="AO177" t="s">
        <v>744</v>
      </c>
      <c r="AP177" t="s">
        <v>745</v>
      </c>
      <c r="AQ177" t="s">
        <v>74</v>
      </c>
      <c r="AR177" t="s">
        <v>733</v>
      </c>
      <c r="AS177" t="s">
        <v>528</v>
      </c>
      <c r="AT177" t="s">
        <v>2635</v>
      </c>
      <c r="AU177">
        <v>2006</v>
      </c>
      <c r="AV177">
        <v>34</v>
      </c>
      <c r="AW177">
        <v>7</v>
      </c>
      <c r="AX177" t="s">
        <v>74</v>
      </c>
      <c r="AY177" t="s">
        <v>74</v>
      </c>
      <c r="AZ177" t="s">
        <v>74</v>
      </c>
      <c r="BA177" t="s">
        <v>74</v>
      </c>
      <c r="BB177">
        <v>513</v>
      </c>
      <c r="BC177">
        <v>516</v>
      </c>
      <c r="BD177" t="s">
        <v>74</v>
      </c>
      <c r="BE177" t="s">
        <v>2845</v>
      </c>
      <c r="BF177" t="str">
        <f>HYPERLINK("http://dx.doi.org/10.1130/G22145.1","http://dx.doi.org/10.1130/G22145.1")</f>
        <v>http://dx.doi.org/10.1130/G22145.1</v>
      </c>
      <c r="BG177" t="s">
        <v>74</v>
      </c>
      <c r="BH177" t="s">
        <v>74</v>
      </c>
      <c r="BI177">
        <v>4</v>
      </c>
      <c r="BJ177" t="s">
        <v>528</v>
      </c>
      <c r="BK177" t="s">
        <v>97</v>
      </c>
      <c r="BL177" t="s">
        <v>528</v>
      </c>
      <c r="BM177" t="s">
        <v>2846</v>
      </c>
      <c r="BN177" t="s">
        <v>74</v>
      </c>
      <c r="BO177" t="s">
        <v>74</v>
      </c>
      <c r="BP177" t="s">
        <v>74</v>
      </c>
      <c r="BQ177" t="s">
        <v>74</v>
      </c>
      <c r="BR177" t="s">
        <v>100</v>
      </c>
      <c r="BS177" t="s">
        <v>2847</v>
      </c>
      <c r="BT177" t="str">
        <f>HYPERLINK("https%3A%2F%2Fwww.webofscience.com%2Fwos%2Fwoscc%2Ffull-record%2FWOS:000238697900001","View Full Record in Web of Science")</f>
        <v>View Full Record in Web of Science</v>
      </c>
    </row>
    <row r="178" spans="1:72" x14ac:dyDescent="0.15">
      <c r="A178" t="s">
        <v>72</v>
      </c>
      <c r="B178" t="s">
        <v>2848</v>
      </c>
      <c r="C178" t="s">
        <v>74</v>
      </c>
      <c r="D178" t="s">
        <v>74</v>
      </c>
      <c r="E178" t="s">
        <v>74</v>
      </c>
      <c r="F178" t="s">
        <v>2849</v>
      </c>
      <c r="G178" t="s">
        <v>74</v>
      </c>
      <c r="H178" t="s">
        <v>74</v>
      </c>
      <c r="I178" t="s">
        <v>2850</v>
      </c>
      <c r="J178" t="s">
        <v>733</v>
      </c>
      <c r="K178" t="s">
        <v>74</v>
      </c>
      <c r="L178" t="s">
        <v>74</v>
      </c>
      <c r="M178" t="s">
        <v>78</v>
      </c>
      <c r="N178" t="s">
        <v>79</v>
      </c>
      <c r="O178" t="s">
        <v>74</v>
      </c>
      <c r="P178" t="s">
        <v>74</v>
      </c>
      <c r="Q178" t="s">
        <v>74</v>
      </c>
      <c r="R178" t="s">
        <v>74</v>
      </c>
      <c r="S178" t="s">
        <v>74</v>
      </c>
      <c r="T178" t="s">
        <v>2851</v>
      </c>
      <c r="U178" t="s">
        <v>2852</v>
      </c>
      <c r="V178" t="s">
        <v>2853</v>
      </c>
      <c r="W178" t="s">
        <v>2854</v>
      </c>
      <c r="X178" t="s">
        <v>2855</v>
      </c>
      <c r="Y178" t="s">
        <v>2856</v>
      </c>
      <c r="Z178" t="s">
        <v>74</v>
      </c>
      <c r="AA178" t="s">
        <v>2857</v>
      </c>
      <c r="AB178" t="s">
        <v>2858</v>
      </c>
      <c r="AC178" t="s">
        <v>74</v>
      </c>
      <c r="AD178" t="s">
        <v>74</v>
      </c>
      <c r="AE178" t="s">
        <v>74</v>
      </c>
      <c r="AF178" t="s">
        <v>74</v>
      </c>
      <c r="AG178">
        <v>34</v>
      </c>
      <c r="AH178">
        <v>18</v>
      </c>
      <c r="AI178">
        <v>21</v>
      </c>
      <c r="AJ178">
        <v>0</v>
      </c>
      <c r="AK178">
        <v>17</v>
      </c>
      <c r="AL178" t="s">
        <v>742</v>
      </c>
      <c r="AM178" t="s">
        <v>161</v>
      </c>
      <c r="AN178" t="s">
        <v>743</v>
      </c>
      <c r="AO178" t="s">
        <v>744</v>
      </c>
      <c r="AP178" t="s">
        <v>745</v>
      </c>
      <c r="AQ178" t="s">
        <v>74</v>
      </c>
      <c r="AR178" t="s">
        <v>733</v>
      </c>
      <c r="AS178" t="s">
        <v>528</v>
      </c>
      <c r="AT178" t="s">
        <v>2635</v>
      </c>
      <c r="AU178">
        <v>2006</v>
      </c>
      <c r="AV178">
        <v>34</v>
      </c>
      <c r="AW178">
        <v>7</v>
      </c>
      <c r="AX178" t="s">
        <v>74</v>
      </c>
      <c r="AY178" t="s">
        <v>74</v>
      </c>
      <c r="AZ178" t="s">
        <v>74</v>
      </c>
      <c r="BA178" t="s">
        <v>74</v>
      </c>
      <c r="BB178">
        <v>545</v>
      </c>
      <c r="BC178">
        <v>548</v>
      </c>
      <c r="BD178" t="s">
        <v>74</v>
      </c>
      <c r="BE178" t="s">
        <v>2859</v>
      </c>
      <c r="BF178" t="str">
        <f>HYPERLINK("http://dx.doi.org/10.1130/G22252.1","http://dx.doi.org/10.1130/G22252.1")</f>
        <v>http://dx.doi.org/10.1130/G22252.1</v>
      </c>
      <c r="BG178" t="s">
        <v>74</v>
      </c>
      <c r="BH178" t="s">
        <v>74</v>
      </c>
      <c r="BI178">
        <v>4</v>
      </c>
      <c r="BJ178" t="s">
        <v>528</v>
      </c>
      <c r="BK178" t="s">
        <v>97</v>
      </c>
      <c r="BL178" t="s">
        <v>528</v>
      </c>
      <c r="BM178" t="s">
        <v>2846</v>
      </c>
      <c r="BN178" t="s">
        <v>74</v>
      </c>
      <c r="BO178" t="s">
        <v>74</v>
      </c>
      <c r="BP178" t="s">
        <v>74</v>
      </c>
      <c r="BQ178" t="s">
        <v>74</v>
      </c>
      <c r="BR178" t="s">
        <v>100</v>
      </c>
      <c r="BS178" t="s">
        <v>2860</v>
      </c>
      <c r="BT178" t="str">
        <f>HYPERLINK("https%3A%2F%2Fwww.webofscience.com%2Fwos%2Fwoscc%2Ffull-record%2FWOS:000238697900009","View Full Record in Web of Science")</f>
        <v>View Full Record in Web of Science</v>
      </c>
    </row>
    <row r="179" spans="1:72" x14ac:dyDescent="0.15">
      <c r="A179" t="s">
        <v>72</v>
      </c>
      <c r="B179" t="s">
        <v>2861</v>
      </c>
      <c r="C179" t="s">
        <v>74</v>
      </c>
      <c r="D179" t="s">
        <v>74</v>
      </c>
      <c r="E179" t="s">
        <v>74</v>
      </c>
      <c r="F179" t="s">
        <v>2862</v>
      </c>
      <c r="G179" t="s">
        <v>74</v>
      </c>
      <c r="H179" t="s">
        <v>74</v>
      </c>
      <c r="I179" t="s">
        <v>2863</v>
      </c>
      <c r="J179" t="s">
        <v>733</v>
      </c>
      <c r="K179" t="s">
        <v>74</v>
      </c>
      <c r="L179" t="s">
        <v>74</v>
      </c>
      <c r="M179" t="s">
        <v>78</v>
      </c>
      <c r="N179" t="s">
        <v>79</v>
      </c>
      <c r="O179" t="s">
        <v>74</v>
      </c>
      <c r="P179" t="s">
        <v>74</v>
      </c>
      <c r="Q179" t="s">
        <v>74</v>
      </c>
      <c r="R179" t="s">
        <v>74</v>
      </c>
      <c r="S179" t="s">
        <v>74</v>
      </c>
      <c r="T179" t="s">
        <v>2864</v>
      </c>
      <c r="U179" t="s">
        <v>2865</v>
      </c>
      <c r="V179" t="s">
        <v>2866</v>
      </c>
      <c r="W179" t="s">
        <v>2867</v>
      </c>
      <c r="X179" t="s">
        <v>2868</v>
      </c>
      <c r="Y179" t="s">
        <v>2869</v>
      </c>
      <c r="Z179" t="s">
        <v>74</v>
      </c>
      <c r="AA179" t="s">
        <v>2870</v>
      </c>
      <c r="AB179" t="s">
        <v>2871</v>
      </c>
      <c r="AC179" t="s">
        <v>2872</v>
      </c>
      <c r="AD179" t="s">
        <v>2873</v>
      </c>
      <c r="AE179" t="s">
        <v>74</v>
      </c>
      <c r="AF179" t="s">
        <v>74</v>
      </c>
      <c r="AG179">
        <v>11</v>
      </c>
      <c r="AH179">
        <v>84</v>
      </c>
      <c r="AI179">
        <v>85</v>
      </c>
      <c r="AJ179">
        <v>0</v>
      </c>
      <c r="AK179">
        <v>19</v>
      </c>
      <c r="AL179" t="s">
        <v>742</v>
      </c>
      <c r="AM179" t="s">
        <v>161</v>
      </c>
      <c r="AN179" t="s">
        <v>743</v>
      </c>
      <c r="AO179" t="s">
        <v>744</v>
      </c>
      <c r="AP179" t="s">
        <v>745</v>
      </c>
      <c r="AQ179" t="s">
        <v>74</v>
      </c>
      <c r="AR179" t="s">
        <v>733</v>
      </c>
      <c r="AS179" t="s">
        <v>528</v>
      </c>
      <c r="AT179" t="s">
        <v>2635</v>
      </c>
      <c r="AU179">
        <v>2006</v>
      </c>
      <c r="AV179">
        <v>34</v>
      </c>
      <c r="AW179">
        <v>7</v>
      </c>
      <c r="AX179" t="s">
        <v>74</v>
      </c>
      <c r="AY179" t="s">
        <v>74</v>
      </c>
      <c r="AZ179" t="s">
        <v>74</v>
      </c>
      <c r="BA179" t="s">
        <v>74</v>
      </c>
      <c r="BB179">
        <v>549</v>
      </c>
      <c r="BC179">
        <v>552</v>
      </c>
      <c r="BD179" t="s">
        <v>74</v>
      </c>
      <c r="BE179" t="s">
        <v>2874</v>
      </c>
      <c r="BF179" t="str">
        <f>HYPERLINK("http://dx.doi.org/10.1130/G22424.1","http://dx.doi.org/10.1130/G22424.1")</f>
        <v>http://dx.doi.org/10.1130/G22424.1</v>
      </c>
      <c r="BG179" t="s">
        <v>74</v>
      </c>
      <c r="BH179" t="s">
        <v>74</v>
      </c>
      <c r="BI179">
        <v>4</v>
      </c>
      <c r="BJ179" t="s">
        <v>528</v>
      </c>
      <c r="BK179" t="s">
        <v>97</v>
      </c>
      <c r="BL179" t="s">
        <v>528</v>
      </c>
      <c r="BM179" t="s">
        <v>2846</v>
      </c>
      <c r="BN179" t="s">
        <v>74</v>
      </c>
      <c r="BO179" t="s">
        <v>99</v>
      </c>
      <c r="BP179" t="s">
        <v>74</v>
      </c>
      <c r="BQ179" t="s">
        <v>74</v>
      </c>
      <c r="BR179" t="s">
        <v>100</v>
      </c>
      <c r="BS179" t="s">
        <v>2875</v>
      </c>
      <c r="BT179" t="str">
        <f>HYPERLINK("https%3A%2F%2Fwww.webofscience.com%2Fwos%2Fwoscc%2Ffull-record%2FWOS:000238697900010","View Full Record in Web of Science")</f>
        <v>View Full Record in Web of Science</v>
      </c>
    </row>
    <row r="180" spans="1:72" x14ac:dyDescent="0.15">
      <c r="A180" t="s">
        <v>72</v>
      </c>
      <c r="B180" t="s">
        <v>2876</v>
      </c>
      <c r="C180" t="s">
        <v>74</v>
      </c>
      <c r="D180" t="s">
        <v>74</v>
      </c>
      <c r="E180" t="s">
        <v>74</v>
      </c>
      <c r="F180" t="s">
        <v>2877</v>
      </c>
      <c r="G180" t="s">
        <v>74</v>
      </c>
      <c r="H180" t="s">
        <v>74</v>
      </c>
      <c r="I180" t="s">
        <v>2878</v>
      </c>
      <c r="J180" t="s">
        <v>2879</v>
      </c>
      <c r="K180" t="s">
        <v>74</v>
      </c>
      <c r="L180" t="s">
        <v>74</v>
      </c>
      <c r="M180" t="s">
        <v>78</v>
      </c>
      <c r="N180" t="s">
        <v>79</v>
      </c>
      <c r="O180" t="s">
        <v>74</v>
      </c>
      <c r="P180" t="s">
        <v>74</v>
      </c>
      <c r="Q180" t="s">
        <v>74</v>
      </c>
      <c r="R180" t="s">
        <v>74</v>
      </c>
      <c r="S180" t="s">
        <v>74</v>
      </c>
      <c r="T180" t="s">
        <v>2880</v>
      </c>
      <c r="U180" t="s">
        <v>2881</v>
      </c>
      <c r="V180" t="s">
        <v>2882</v>
      </c>
      <c r="W180" t="s">
        <v>2883</v>
      </c>
      <c r="X180" t="s">
        <v>2884</v>
      </c>
      <c r="Y180" t="s">
        <v>2885</v>
      </c>
      <c r="Z180" t="s">
        <v>2886</v>
      </c>
      <c r="AA180" t="s">
        <v>74</v>
      </c>
      <c r="AB180" t="s">
        <v>74</v>
      </c>
      <c r="AC180" t="s">
        <v>74</v>
      </c>
      <c r="AD180" t="s">
        <v>74</v>
      </c>
      <c r="AE180" t="s">
        <v>74</v>
      </c>
      <c r="AF180" t="s">
        <v>74</v>
      </c>
      <c r="AG180">
        <v>64</v>
      </c>
      <c r="AH180">
        <v>12</v>
      </c>
      <c r="AI180">
        <v>12</v>
      </c>
      <c r="AJ180">
        <v>0</v>
      </c>
      <c r="AK180">
        <v>13</v>
      </c>
      <c r="AL180" t="s">
        <v>2887</v>
      </c>
      <c r="AM180" t="s">
        <v>557</v>
      </c>
      <c r="AN180" t="s">
        <v>2888</v>
      </c>
      <c r="AO180" t="s">
        <v>2889</v>
      </c>
      <c r="AP180" t="s">
        <v>2890</v>
      </c>
      <c r="AQ180" t="s">
        <v>74</v>
      </c>
      <c r="AR180" t="s">
        <v>2879</v>
      </c>
      <c r="AS180" t="s">
        <v>2891</v>
      </c>
      <c r="AT180" t="s">
        <v>2635</v>
      </c>
      <c r="AU180">
        <v>2006</v>
      </c>
      <c r="AV180">
        <v>16</v>
      </c>
      <c r="AW180">
        <v>5</v>
      </c>
      <c r="AX180" t="s">
        <v>74</v>
      </c>
      <c r="AY180" t="s">
        <v>74</v>
      </c>
      <c r="AZ180" t="s">
        <v>74</v>
      </c>
      <c r="BA180" t="s">
        <v>74</v>
      </c>
      <c r="BB180">
        <v>625</v>
      </c>
      <c r="BC180">
        <v>634</v>
      </c>
      <c r="BD180" t="s">
        <v>74</v>
      </c>
      <c r="BE180" t="s">
        <v>2892</v>
      </c>
      <c r="BF180" t="str">
        <f>HYPERLINK("http://dx.doi.org/10.1191/0959683606hl959rp","http://dx.doi.org/10.1191/0959683606hl959rp")</f>
        <v>http://dx.doi.org/10.1191/0959683606hl959rp</v>
      </c>
      <c r="BG180" t="s">
        <v>74</v>
      </c>
      <c r="BH180" t="s">
        <v>74</v>
      </c>
      <c r="BI180">
        <v>10</v>
      </c>
      <c r="BJ180" t="s">
        <v>2893</v>
      </c>
      <c r="BK180" t="s">
        <v>97</v>
      </c>
      <c r="BL180" t="s">
        <v>2894</v>
      </c>
      <c r="BM180" t="s">
        <v>2895</v>
      </c>
      <c r="BN180" t="s">
        <v>74</v>
      </c>
      <c r="BO180" t="s">
        <v>2896</v>
      </c>
      <c r="BP180" t="s">
        <v>74</v>
      </c>
      <c r="BQ180" t="s">
        <v>74</v>
      </c>
      <c r="BR180" t="s">
        <v>100</v>
      </c>
      <c r="BS180" t="s">
        <v>2897</v>
      </c>
      <c r="BT180" t="str">
        <f>HYPERLINK("https%3A%2F%2Fwww.webofscience.com%2Fwos%2Fwoscc%2Ffull-record%2FWOS:000239702800001","View Full Record in Web of Science")</f>
        <v>View Full Record in Web of Science</v>
      </c>
    </row>
    <row r="181" spans="1:72" x14ac:dyDescent="0.15">
      <c r="A181" t="s">
        <v>72</v>
      </c>
      <c r="B181" t="s">
        <v>2898</v>
      </c>
      <c r="C181" t="s">
        <v>74</v>
      </c>
      <c r="D181" t="s">
        <v>74</v>
      </c>
      <c r="E181" t="s">
        <v>74</v>
      </c>
      <c r="F181" t="s">
        <v>2899</v>
      </c>
      <c r="G181" t="s">
        <v>74</v>
      </c>
      <c r="H181" t="s">
        <v>74</v>
      </c>
      <c r="I181" t="s">
        <v>2900</v>
      </c>
      <c r="J181" t="s">
        <v>2901</v>
      </c>
      <c r="K181" t="s">
        <v>74</v>
      </c>
      <c r="L181" t="s">
        <v>74</v>
      </c>
      <c r="M181" t="s">
        <v>78</v>
      </c>
      <c r="N181" t="s">
        <v>79</v>
      </c>
      <c r="O181" t="s">
        <v>74</v>
      </c>
      <c r="P181" t="s">
        <v>74</v>
      </c>
      <c r="Q181" t="s">
        <v>74</v>
      </c>
      <c r="R181" t="s">
        <v>74</v>
      </c>
      <c r="S181" t="s">
        <v>74</v>
      </c>
      <c r="T181" t="s">
        <v>2902</v>
      </c>
      <c r="U181" t="s">
        <v>2903</v>
      </c>
      <c r="V181" t="s">
        <v>2904</v>
      </c>
      <c r="W181" t="s">
        <v>2905</v>
      </c>
      <c r="X181" t="s">
        <v>2906</v>
      </c>
      <c r="Y181" t="s">
        <v>2907</v>
      </c>
      <c r="Z181" t="s">
        <v>2908</v>
      </c>
      <c r="AA181" t="s">
        <v>2909</v>
      </c>
      <c r="AB181" t="s">
        <v>2910</v>
      </c>
      <c r="AC181" t="s">
        <v>74</v>
      </c>
      <c r="AD181" t="s">
        <v>74</v>
      </c>
      <c r="AE181" t="s">
        <v>74</v>
      </c>
      <c r="AF181" t="s">
        <v>74</v>
      </c>
      <c r="AG181">
        <v>30</v>
      </c>
      <c r="AH181">
        <v>61</v>
      </c>
      <c r="AI181">
        <v>67</v>
      </c>
      <c r="AJ181">
        <v>1</v>
      </c>
      <c r="AK181">
        <v>15</v>
      </c>
      <c r="AL181" t="s">
        <v>115</v>
      </c>
      <c r="AM181" t="s">
        <v>116</v>
      </c>
      <c r="AN181" t="s">
        <v>117</v>
      </c>
      <c r="AO181" t="s">
        <v>2911</v>
      </c>
      <c r="AP181" t="s">
        <v>2912</v>
      </c>
      <c r="AQ181" t="s">
        <v>74</v>
      </c>
      <c r="AR181" t="s">
        <v>2913</v>
      </c>
      <c r="AS181" t="s">
        <v>2914</v>
      </c>
      <c r="AT181" t="s">
        <v>2635</v>
      </c>
      <c r="AU181">
        <v>2006</v>
      </c>
      <c r="AV181">
        <v>26</v>
      </c>
      <c r="AW181">
        <v>9</v>
      </c>
      <c r="AX181" t="s">
        <v>74</v>
      </c>
      <c r="AY181" t="s">
        <v>74</v>
      </c>
      <c r="AZ181" t="s">
        <v>74</v>
      </c>
      <c r="BA181" t="s">
        <v>74</v>
      </c>
      <c r="BB181">
        <v>1181</v>
      </c>
      <c r="BC181">
        <v>1199</v>
      </c>
      <c r="BD181" t="s">
        <v>74</v>
      </c>
      <c r="BE181" t="s">
        <v>2915</v>
      </c>
      <c r="BF181" t="str">
        <f>HYPERLINK("http://dx.doi.org/10.1002/joc.1305","http://dx.doi.org/10.1002/joc.1305")</f>
        <v>http://dx.doi.org/10.1002/joc.1305</v>
      </c>
      <c r="BG181" t="s">
        <v>74</v>
      </c>
      <c r="BH181" t="s">
        <v>74</v>
      </c>
      <c r="BI181">
        <v>19</v>
      </c>
      <c r="BJ181" t="s">
        <v>869</v>
      </c>
      <c r="BK181" t="s">
        <v>97</v>
      </c>
      <c r="BL181" t="s">
        <v>869</v>
      </c>
      <c r="BM181" t="s">
        <v>2916</v>
      </c>
      <c r="BN181" t="s">
        <v>74</v>
      </c>
      <c r="BO181" t="s">
        <v>460</v>
      </c>
      <c r="BP181" t="s">
        <v>74</v>
      </c>
      <c r="BQ181" t="s">
        <v>74</v>
      </c>
      <c r="BR181" t="s">
        <v>100</v>
      </c>
      <c r="BS181" t="s">
        <v>2917</v>
      </c>
      <c r="BT181" t="str">
        <f>HYPERLINK("https%3A%2F%2Fwww.webofscience.com%2Fwos%2Fwoscc%2Ffull-record%2FWOS:000239029600004","View Full Record in Web of Science")</f>
        <v>View Full Record in Web of Science</v>
      </c>
    </row>
    <row r="182" spans="1:72" x14ac:dyDescent="0.15">
      <c r="A182" t="s">
        <v>72</v>
      </c>
      <c r="B182" t="s">
        <v>2918</v>
      </c>
      <c r="C182" t="s">
        <v>74</v>
      </c>
      <c r="D182" t="s">
        <v>74</v>
      </c>
      <c r="E182" t="s">
        <v>74</v>
      </c>
      <c r="F182" t="s">
        <v>2919</v>
      </c>
      <c r="G182" t="s">
        <v>74</v>
      </c>
      <c r="H182" t="s">
        <v>74</v>
      </c>
      <c r="I182" t="s">
        <v>2920</v>
      </c>
      <c r="J182" t="s">
        <v>2921</v>
      </c>
      <c r="K182" t="s">
        <v>74</v>
      </c>
      <c r="L182" t="s">
        <v>74</v>
      </c>
      <c r="M182" t="s">
        <v>78</v>
      </c>
      <c r="N182" t="s">
        <v>1226</v>
      </c>
      <c r="O182" t="s">
        <v>2922</v>
      </c>
      <c r="P182" t="s">
        <v>2923</v>
      </c>
      <c r="Q182" t="s">
        <v>2924</v>
      </c>
      <c r="R182" t="s">
        <v>74</v>
      </c>
      <c r="S182" t="s">
        <v>74</v>
      </c>
      <c r="T182" t="s">
        <v>74</v>
      </c>
      <c r="U182" t="s">
        <v>2925</v>
      </c>
      <c r="V182" t="s">
        <v>2926</v>
      </c>
      <c r="W182" t="s">
        <v>2927</v>
      </c>
      <c r="X182" t="s">
        <v>2928</v>
      </c>
      <c r="Y182" t="s">
        <v>2929</v>
      </c>
      <c r="Z182" t="s">
        <v>74</v>
      </c>
      <c r="AA182" t="s">
        <v>2930</v>
      </c>
      <c r="AB182" t="s">
        <v>74</v>
      </c>
      <c r="AC182" t="s">
        <v>74</v>
      </c>
      <c r="AD182" t="s">
        <v>74</v>
      </c>
      <c r="AE182" t="s">
        <v>74</v>
      </c>
      <c r="AF182" t="s">
        <v>74</v>
      </c>
      <c r="AG182">
        <v>17</v>
      </c>
      <c r="AH182">
        <v>3</v>
      </c>
      <c r="AI182">
        <v>3</v>
      </c>
      <c r="AJ182">
        <v>0</v>
      </c>
      <c r="AK182">
        <v>0</v>
      </c>
      <c r="AL182" t="s">
        <v>2931</v>
      </c>
      <c r="AM182" t="s">
        <v>2932</v>
      </c>
      <c r="AN182" t="s">
        <v>2933</v>
      </c>
      <c r="AO182" t="s">
        <v>2934</v>
      </c>
      <c r="AP182" t="s">
        <v>74</v>
      </c>
      <c r="AQ182" t="s">
        <v>74</v>
      </c>
      <c r="AR182" t="s">
        <v>2935</v>
      </c>
      <c r="AS182" t="s">
        <v>2936</v>
      </c>
      <c r="AT182" t="s">
        <v>2635</v>
      </c>
      <c r="AU182">
        <v>2006</v>
      </c>
      <c r="AV182">
        <v>21</v>
      </c>
      <c r="AW182" t="s">
        <v>74</v>
      </c>
      <c r="AX182" t="s">
        <v>74</v>
      </c>
      <c r="AY182">
        <v>1</v>
      </c>
      <c r="AZ182" t="s">
        <v>74</v>
      </c>
      <c r="BA182" t="s">
        <v>74</v>
      </c>
      <c r="BB182">
        <v>153</v>
      </c>
      <c r="BC182">
        <v>157</v>
      </c>
      <c r="BD182" t="s">
        <v>74</v>
      </c>
      <c r="BE182" t="s">
        <v>74</v>
      </c>
      <c r="BF182" t="s">
        <v>74</v>
      </c>
      <c r="BG182" t="s">
        <v>74</v>
      </c>
      <c r="BH182" t="s">
        <v>74</v>
      </c>
      <c r="BI182">
        <v>5</v>
      </c>
      <c r="BJ182" t="s">
        <v>2937</v>
      </c>
      <c r="BK182" t="s">
        <v>655</v>
      </c>
      <c r="BL182" t="s">
        <v>2938</v>
      </c>
      <c r="BM182" t="s">
        <v>2939</v>
      </c>
      <c r="BN182" t="s">
        <v>74</v>
      </c>
      <c r="BO182" t="s">
        <v>74</v>
      </c>
      <c r="BP182" t="s">
        <v>74</v>
      </c>
      <c r="BQ182" t="s">
        <v>74</v>
      </c>
      <c r="BR182" t="s">
        <v>100</v>
      </c>
      <c r="BS182" t="s">
        <v>2940</v>
      </c>
      <c r="BT182" t="str">
        <f>HYPERLINK("https%3A%2F%2Fwww.webofscience.com%2Fwos%2Fwoscc%2Ffull-record%2FWOS:000239988200029","View Full Record in Web of Science")</f>
        <v>View Full Record in Web of Science</v>
      </c>
    </row>
    <row r="183" spans="1:72" x14ac:dyDescent="0.15">
      <c r="A183" t="s">
        <v>72</v>
      </c>
      <c r="B183" t="s">
        <v>2941</v>
      </c>
      <c r="C183" t="s">
        <v>74</v>
      </c>
      <c r="D183" t="s">
        <v>74</v>
      </c>
      <c r="E183" t="s">
        <v>74</v>
      </c>
      <c r="F183" t="s">
        <v>2942</v>
      </c>
      <c r="G183" t="s">
        <v>74</v>
      </c>
      <c r="H183" t="s">
        <v>2943</v>
      </c>
      <c r="I183" t="s">
        <v>2944</v>
      </c>
      <c r="J183" t="s">
        <v>2921</v>
      </c>
      <c r="K183" t="s">
        <v>74</v>
      </c>
      <c r="L183" t="s">
        <v>74</v>
      </c>
      <c r="M183" t="s">
        <v>78</v>
      </c>
      <c r="N183" t="s">
        <v>1226</v>
      </c>
      <c r="O183" t="s">
        <v>2945</v>
      </c>
      <c r="P183" t="s">
        <v>2923</v>
      </c>
      <c r="Q183" t="s">
        <v>2924</v>
      </c>
      <c r="R183" t="s">
        <v>74</v>
      </c>
      <c r="S183" t="s">
        <v>74</v>
      </c>
      <c r="T183" t="s">
        <v>74</v>
      </c>
      <c r="U183" t="s">
        <v>2946</v>
      </c>
      <c r="V183" t="s">
        <v>2947</v>
      </c>
      <c r="W183" t="s">
        <v>2948</v>
      </c>
      <c r="X183" t="s">
        <v>2949</v>
      </c>
      <c r="Y183" t="s">
        <v>2950</v>
      </c>
      <c r="Z183" t="s">
        <v>2951</v>
      </c>
      <c r="AA183" t="s">
        <v>74</v>
      </c>
      <c r="AB183" t="s">
        <v>2952</v>
      </c>
      <c r="AC183" t="s">
        <v>74</v>
      </c>
      <c r="AD183" t="s">
        <v>74</v>
      </c>
      <c r="AE183" t="s">
        <v>74</v>
      </c>
      <c r="AF183" t="s">
        <v>74</v>
      </c>
      <c r="AG183">
        <v>34</v>
      </c>
      <c r="AH183">
        <v>0</v>
      </c>
      <c r="AI183">
        <v>0</v>
      </c>
      <c r="AJ183">
        <v>0</v>
      </c>
      <c r="AK183">
        <v>0</v>
      </c>
      <c r="AL183" t="s">
        <v>2931</v>
      </c>
      <c r="AM183" t="s">
        <v>2932</v>
      </c>
      <c r="AN183" t="s">
        <v>2933</v>
      </c>
      <c r="AO183" t="s">
        <v>2934</v>
      </c>
      <c r="AP183" t="s">
        <v>2953</v>
      </c>
      <c r="AQ183" t="s">
        <v>74</v>
      </c>
      <c r="AR183" t="s">
        <v>2935</v>
      </c>
      <c r="AS183" t="s">
        <v>2936</v>
      </c>
      <c r="AT183" t="s">
        <v>2635</v>
      </c>
      <c r="AU183">
        <v>2006</v>
      </c>
      <c r="AV183">
        <v>21</v>
      </c>
      <c r="AW183" t="s">
        <v>74</v>
      </c>
      <c r="AX183" t="s">
        <v>74</v>
      </c>
      <c r="AY183">
        <v>1</v>
      </c>
      <c r="AZ183" t="s">
        <v>74</v>
      </c>
      <c r="BA183" t="s">
        <v>74</v>
      </c>
      <c r="BB183">
        <v>158</v>
      </c>
      <c r="BC183">
        <v>162</v>
      </c>
      <c r="BD183" t="s">
        <v>74</v>
      </c>
      <c r="BE183" t="s">
        <v>2954</v>
      </c>
      <c r="BF183" t="str">
        <f>HYPERLINK("http://dx.doi.org/10.1142/S0217751X06033556","http://dx.doi.org/10.1142/S0217751X06033556")</f>
        <v>http://dx.doi.org/10.1142/S0217751X06033556</v>
      </c>
      <c r="BG183" t="s">
        <v>74</v>
      </c>
      <c r="BH183" t="s">
        <v>74</v>
      </c>
      <c r="BI183">
        <v>5</v>
      </c>
      <c r="BJ183" t="s">
        <v>2937</v>
      </c>
      <c r="BK183" t="s">
        <v>668</v>
      </c>
      <c r="BL183" t="s">
        <v>2938</v>
      </c>
      <c r="BM183" t="s">
        <v>2939</v>
      </c>
      <c r="BN183" t="s">
        <v>74</v>
      </c>
      <c r="BO183" t="s">
        <v>74</v>
      </c>
      <c r="BP183" t="s">
        <v>74</v>
      </c>
      <c r="BQ183" t="s">
        <v>74</v>
      </c>
      <c r="BR183" t="s">
        <v>100</v>
      </c>
      <c r="BS183" t="s">
        <v>2955</v>
      </c>
      <c r="BT183" t="str">
        <f>HYPERLINK("https%3A%2F%2Fwww.webofscience.com%2Fwos%2Fwoscc%2Ffull-record%2FWOS:000239988200030","View Full Record in Web of Science")</f>
        <v>View Full Record in Web of Science</v>
      </c>
    </row>
    <row r="184" spans="1:72" x14ac:dyDescent="0.15">
      <c r="A184" t="s">
        <v>72</v>
      </c>
      <c r="B184" t="s">
        <v>2956</v>
      </c>
      <c r="C184" t="s">
        <v>74</v>
      </c>
      <c r="D184" t="s">
        <v>74</v>
      </c>
      <c r="E184" t="s">
        <v>74</v>
      </c>
      <c r="F184" t="s">
        <v>2957</v>
      </c>
      <c r="G184" t="s">
        <v>74</v>
      </c>
      <c r="H184" t="s">
        <v>2958</v>
      </c>
      <c r="I184" t="s">
        <v>2959</v>
      </c>
      <c r="J184" t="s">
        <v>2921</v>
      </c>
      <c r="K184" t="s">
        <v>74</v>
      </c>
      <c r="L184" t="s">
        <v>74</v>
      </c>
      <c r="M184" t="s">
        <v>78</v>
      </c>
      <c r="N184" t="s">
        <v>1226</v>
      </c>
      <c r="O184" t="s">
        <v>2922</v>
      </c>
      <c r="P184" t="s">
        <v>2923</v>
      </c>
      <c r="Q184" t="s">
        <v>2924</v>
      </c>
      <c r="R184" t="s">
        <v>74</v>
      </c>
      <c r="S184" t="s">
        <v>74</v>
      </c>
      <c r="T184" t="s">
        <v>74</v>
      </c>
      <c r="U184" t="s">
        <v>74</v>
      </c>
      <c r="V184" t="s">
        <v>2960</v>
      </c>
      <c r="W184" t="s">
        <v>2961</v>
      </c>
      <c r="X184" t="s">
        <v>2962</v>
      </c>
      <c r="Y184" t="s">
        <v>2963</v>
      </c>
      <c r="Z184" t="s">
        <v>2964</v>
      </c>
      <c r="AA184" t="s">
        <v>2965</v>
      </c>
      <c r="AB184" t="s">
        <v>74</v>
      </c>
      <c r="AC184" t="s">
        <v>74</v>
      </c>
      <c r="AD184" t="s">
        <v>74</v>
      </c>
      <c r="AE184" t="s">
        <v>74</v>
      </c>
      <c r="AF184" t="s">
        <v>74</v>
      </c>
      <c r="AG184">
        <v>6</v>
      </c>
      <c r="AH184">
        <v>5</v>
      </c>
      <c r="AI184">
        <v>5</v>
      </c>
      <c r="AJ184">
        <v>0</v>
      </c>
      <c r="AK184">
        <v>0</v>
      </c>
      <c r="AL184" t="s">
        <v>2931</v>
      </c>
      <c r="AM184" t="s">
        <v>2932</v>
      </c>
      <c r="AN184" t="s">
        <v>2933</v>
      </c>
      <c r="AO184" t="s">
        <v>2934</v>
      </c>
      <c r="AP184" t="s">
        <v>74</v>
      </c>
      <c r="AQ184" t="s">
        <v>74</v>
      </c>
      <c r="AR184" t="s">
        <v>2935</v>
      </c>
      <c r="AS184" t="s">
        <v>2936</v>
      </c>
      <c r="AT184" t="s">
        <v>2635</v>
      </c>
      <c r="AU184">
        <v>2006</v>
      </c>
      <c r="AV184">
        <v>21</v>
      </c>
      <c r="AW184" t="s">
        <v>74</v>
      </c>
      <c r="AX184" t="s">
        <v>74</v>
      </c>
      <c r="AY184">
        <v>1</v>
      </c>
      <c r="AZ184" t="s">
        <v>74</v>
      </c>
      <c r="BA184" t="s">
        <v>74</v>
      </c>
      <c r="BB184">
        <v>221</v>
      </c>
      <c r="BC184">
        <v>226</v>
      </c>
      <c r="BD184" t="s">
        <v>74</v>
      </c>
      <c r="BE184" t="s">
        <v>2966</v>
      </c>
      <c r="BF184" t="str">
        <f>HYPERLINK("http://dx.doi.org/10.1142/S0217751X06033660","http://dx.doi.org/10.1142/S0217751X06033660")</f>
        <v>http://dx.doi.org/10.1142/S0217751X06033660</v>
      </c>
      <c r="BG184" t="s">
        <v>74</v>
      </c>
      <c r="BH184" t="s">
        <v>74</v>
      </c>
      <c r="BI184">
        <v>6</v>
      </c>
      <c r="BJ184" t="s">
        <v>2937</v>
      </c>
      <c r="BK184" t="s">
        <v>655</v>
      </c>
      <c r="BL184" t="s">
        <v>2938</v>
      </c>
      <c r="BM184" t="s">
        <v>2939</v>
      </c>
      <c r="BN184" t="s">
        <v>74</v>
      </c>
      <c r="BO184" t="s">
        <v>99</v>
      </c>
      <c r="BP184" t="s">
        <v>74</v>
      </c>
      <c r="BQ184" t="s">
        <v>74</v>
      </c>
      <c r="BR184" t="s">
        <v>100</v>
      </c>
      <c r="BS184" t="s">
        <v>2967</v>
      </c>
      <c r="BT184" t="str">
        <f>HYPERLINK("https%3A%2F%2Fwww.webofscience.com%2Fwos%2Fwoscc%2Ffull-record%2FWOS:000239988200041","View Full Record in Web of Science")</f>
        <v>View Full Record in Web of Science</v>
      </c>
    </row>
    <row r="185" spans="1:72" x14ac:dyDescent="0.15">
      <c r="A185" t="s">
        <v>72</v>
      </c>
      <c r="B185" t="s">
        <v>2968</v>
      </c>
      <c r="C185" t="s">
        <v>74</v>
      </c>
      <c r="D185" t="s">
        <v>74</v>
      </c>
      <c r="E185" t="s">
        <v>74</v>
      </c>
      <c r="F185" t="s">
        <v>2969</v>
      </c>
      <c r="G185" t="s">
        <v>74</v>
      </c>
      <c r="H185" t="s">
        <v>74</v>
      </c>
      <c r="I185" t="s">
        <v>2970</v>
      </c>
      <c r="J185" t="s">
        <v>809</v>
      </c>
      <c r="K185" t="s">
        <v>74</v>
      </c>
      <c r="L185" t="s">
        <v>74</v>
      </c>
      <c r="M185" t="s">
        <v>78</v>
      </c>
      <c r="N185" t="s">
        <v>79</v>
      </c>
      <c r="O185" t="s">
        <v>74</v>
      </c>
      <c r="P185" t="s">
        <v>74</v>
      </c>
      <c r="Q185" t="s">
        <v>74</v>
      </c>
      <c r="R185" t="s">
        <v>74</v>
      </c>
      <c r="S185" t="s">
        <v>74</v>
      </c>
      <c r="T185" t="s">
        <v>74</v>
      </c>
      <c r="U185" t="s">
        <v>2971</v>
      </c>
      <c r="V185" t="s">
        <v>2972</v>
      </c>
      <c r="W185" t="s">
        <v>2973</v>
      </c>
      <c r="X185" t="s">
        <v>2974</v>
      </c>
      <c r="Y185" t="s">
        <v>2975</v>
      </c>
      <c r="Z185" t="s">
        <v>2976</v>
      </c>
      <c r="AA185" t="s">
        <v>2977</v>
      </c>
      <c r="AB185" t="s">
        <v>2978</v>
      </c>
      <c r="AC185" t="s">
        <v>74</v>
      </c>
      <c r="AD185" t="s">
        <v>74</v>
      </c>
      <c r="AE185" t="s">
        <v>74</v>
      </c>
      <c r="AF185" t="s">
        <v>74</v>
      </c>
      <c r="AG185">
        <v>21</v>
      </c>
      <c r="AH185">
        <v>54</v>
      </c>
      <c r="AI185">
        <v>58</v>
      </c>
      <c r="AJ185">
        <v>0</v>
      </c>
      <c r="AK185">
        <v>7</v>
      </c>
      <c r="AL185" t="s">
        <v>818</v>
      </c>
      <c r="AM185" t="s">
        <v>819</v>
      </c>
      <c r="AN185" t="s">
        <v>820</v>
      </c>
      <c r="AO185" t="s">
        <v>821</v>
      </c>
      <c r="AP185" t="s">
        <v>74</v>
      </c>
      <c r="AQ185" t="s">
        <v>74</v>
      </c>
      <c r="AR185" t="s">
        <v>822</v>
      </c>
      <c r="AS185" t="s">
        <v>823</v>
      </c>
      <c r="AT185" t="s">
        <v>2635</v>
      </c>
      <c r="AU185">
        <v>2006</v>
      </c>
      <c r="AV185">
        <v>56</v>
      </c>
      <c r="AW185" t="s">
        <v>74</v>
      </c>
      <c r="AX185">
        <v>7</v>
      </c>
      <c r="AY185" t="s">
        <v>74</v>
      </c>
      <c r="AZ185" t="s">
        <v>74</v>
      </c>
      <c r="BA185" t="s">
        <v>74</v>
      </c>
      <c r="BB185">
        <v>1645</v>
      </c>
      <c r="BC185">
        <v>1649</v>
      </c>
      <c r="BD185" t="s">
        <v>74</v>
      </c>
      <c r="BE185" t="s">
        <v>2979</v>
      </c>
      <c r="BF185" t="str">
        <f>HYPERLINK("http://dx.doi.org/10.1099/ijs.0.64243-0","http://dx.doi.org/10.1099/ijs.0.64243-0")</f>
        <v>http://dx.doi.org/10.1099/ijs.0.64243-0</v>
      </c>
      <c r="BG185" t="s">
        <v>74</v>
      </c>
      <c r="BH185" t="s">
        <v>74</v>
      </c>
      <c r="BI185">
        <v>5</v>
      </c>
      <c r="BJ185" t="s">
        <v>587</v>
      </c>
      <c r="BK185" t="s">
        <v>97</v>
      </c>
      <c r="BL185" t="s">
        <v>587</v>
      </c>
      <c r="BM185" t="s">
        <v>2980</v>
      </c>
      <c r="BN185">
        <v>16825643</v>
      </c>
      <c r="BO185" t="s">
        <v>460</v>
      </c>
      <c r="BP185" t="s">
        <v>74</v>
      </c>
      <c r="BQ185" t="s">
        <v>74</v>
      </c>
      <c r="BR185" t="s">
        <v>100</v>
      </c>
      <c r="BS185" t="s">
        <v>2981</v>
      </c>
      <c r="BT185" t="str">
        <f>HYPERLINK("https%3A%2F%2Fwww.webofscience.com%2Fwos%2Fwoscc%2Ffull-record%2FWOS:000239366200030","View Full Record in Web of Science")</f>
        <v>View Full Record in Web of Science</v>
      </c>
    </row>
    <row r="186" spans="1:72" x14ac:dyDescent="0.15">
      <c r="A186" t="s">
        <v>72</v>
      </c>
      <c r="B186" t="s">
        <v>2982</v>
      </c>
      <c r="C186" t="s">
        <v>74</v>
      </c>
      <c r="D186" t="s">
        <v>74</v>
      </c>
      <c r="E186" t="s">
        <v>74</v>
      </c>
      <c r="F186" t="s">
        <v>2983</v>
      </c>
      <c r="G186" t="s">
        <v>74</v>
      </c>
      <c r="H186" t="s">
        <v>74</v>
      </c>
      <c r="I186" t="s">
        <v>2984</v>
      </c>
      <c r="J186" t="s">
        <v>2985</v>
      </c>
      <c r="K186" t="s">
        <v>74</v>
      </c>
      <c r="L186" t="s">
        <v>74</v>
      </c>
      <c r="M186" t="s">
        <v>78</v>
      </c>
      <c r="N186" t="s">
        <v>79</v>
      </c>
      <c r="O186" t="s">
        <v>74</v>
      </c>
      <c r="P186" t="s">
        <v>74</v>
      </c>
      <c r="Q186" t="s">
        <v>74</v>
      </c>
      <c r="R186" t="s">
        <v>74</v>
      </c>
      <c r="S186" t="s">
        <v>74</v>
      </c>
      <c r="T186" t="s">
        <v>2986</v>
      </c>
      <c r="U186" t="s">
        <v>2987</v>
      </c>
      <c r="V186" t="s">
        <v>2988</v>
      </c>
      <c r="W186" t="s">
        <v>2989</v>
      </c>
      <c r="X186" t="s">
        <v>2990</v>
      </c>
      <c r="Y186" t="s">
        <v>2991</v>
      </c>
      <c r="Z186" t="s">
        <v>2992</v>
      </c>
      <c r="AA186" t="s">
        <v>2993</v>
      </c>
      <c r="AB186" t="s">
        <v>2994</v>
      </c>
      <c r="AC186" t="s">
        <v>2995</v>
      </c>
      <c r="AD186" t="s">
        <v>1328</v>
      </c>
      <c r="AE186" t="s">
        <v>74</v>
      </c>
      <c r="AF186" t="s">
        <v>74</v>
      </c>
      <c r="AG186">
        <v>21</v>
      </c>
      <c r="AH186">
        <v>39</v>
      </c>
      <c r="AI186">
        <v>43</v>
      </c>
      <c r="AJ186">
        <v>0</v>
      </c>
      <c r="AK186">
        <v>3</v>
      </c>
      <c r="AL186" t="s">
        <v>387</v>
      </c>
      <c r="AM186" t="s">
        <v>388</v>
      </c>
      <c r="AN186" t="s">
        <v>389</v>
      </c>
      <c r="AO186" t="s">
        <v>2996</v>
      </c>
      <c r="AP186" t="s">
        <v>2997</v>
      </c>
      <c r="AQ186" t="s">
        <v>74</v>
      </c>
      <c r="AR186" t="s">
        <v>2998</v>
      </c>
      <c r="AS186" t="s">
        <v>2999</v>
      </c>
      <c r="AT186" t="s">
        <v>2635</v>
      </c>
      <c r="AU186">
        <v>2006</v>
      </c>
      <c r="AV186">
        <v>68</v>
      </c>
      <c r="AW186">
        <v>11</v>
      </c>
      <c r="AX186" t="s">
        <v>74</v>
      </c>
      <c r="AY186" t="s">
        <v>74</v>
      </c>
      <c r="AZ186" t="s">
        <v>74</v>
      </c>
      <c r="BA186" t="s">
        <v>74</v>
      </c>
      <c r="BB186">
        <v>1195</v>
      </c>
      <c r="BC186">
        <v>1214</v>
      </c>
      <c r="BD186" t="s">
        <v>74</v>
      </c>
      <c r="BE186" t="s">
        <v>3000</v>
      </c>
      <c r="BF186" t="str">
        <f>HYPERLINK("http://dx.doi.org/10.1016/j.jastp.2006.03.001","http://dx.doi.org/10.1016/j.jastp.2006.03.001")</f>
        <v>http://dx.doi.org/10.1016/j.jastp.2006.03.001</v>
      </c>
      <c r="BG186" t="s">
        <v>74</v>
      </c>
      <c r="BH186" t="s">
        <v>74</v>
      </c>
      <c r="BI186">
        <v>20</v>
      </c>
      <c r="BJ186" t="s">
        <v>3001</v>
      </c>
      <c r="BK186" t="s">
        <v>97</v>
      </c>
      <c r="BL186" t="s">
        <v>3001</v>
      </c>
      <c r="BM186" t="s">
        <v>3002</v>
      </c>
      <c r="BN186" t="s">
        <v>74</v>
      </c>
      <c r="BO186" t="s">
        <v>74</v>
      </c>
      <c r="BP186" t="s">
        <v>74</v>
      </c>
      <c r="BQ186" t="s">
        <v>74</v>
      </c>
      <c r="BR186" t="s">
        <v>100</v>
      </c>
      <c r="BS186" t="s">
        <v>3003</v>
      </c>
      <c r="BT186" t="str">
        <f>HYPERLINK("https%3A%2F%2Fwww.webofscience.com%2Fwos%2Fwoscc%2Ffull-record%2FWOS:000239295300005","View Full Record in Web of Science")</f>
        <v>View Full Record in Web of Science</v>
      </c>
    </row>
    <row r="187" spans="1:72" x14ac:dyDescent="0.15">
      <c r="A187" t="s">
        <v>72</v>
      </c>
      <c r="B187" t="s">
        <v>3004</v>
      </c>
      <c r="C187" t="s">
        <v>74</v>
      </c>
      <c r="D187" t="s">
        <v>74</v>
      </c>
      <c r="E187" t="s">
        <v>74</v>
      </c>
      <c r="F187" t="s">
        <v>3005</v>
      </c>
      <c r="G187" t="s">
        <v>74</v>
      </c>
      <c r="H187" t="s">
        <v>74</v>
      </c>
      <c r="I187" t="s">
        <v>3006</v>
      </c>
      <c r="J187" t="s">
        <v>3007</v>
      </c>
      <c r="K187" t="s">
        <v>74</v>
      </c>
      <c r="L187" t="s">
        <v>74</v>
      </c>
      <c r="M187" t="s">
        <v>78</v>
      </c>
      <c r="N187" t="s">
        <v>79</v>
      </c>
      <c r="O187" t="s">
        <v>74</v>
      </c>
      <c r="P187" t="s">
        <v>74</v>
      </c>
      <c r="Q187" t="s">
        <v>74</v>
      </c>
      <c r="R187" t="s">
        <v>74</v>
      </c>
      <c r="S187" t="s">
        <v>74</v>
      </c>
      <c r="T187" t="s">
        <v>74</v>
      </c>
      <c r="U187" t="s">
        <v>3008</v>
      </c>
      <c r="V187" t="s">
        <v>3009</v>
      </c>
      <c r="W187" t="s">
        <v>3010</v>
      </c>
      <c r="X187" t="s">
        <v>3011</v>
      </c>
      <c r="Y187" t="s">
        <v>3012</v>
      </c>
      <c r="Z187" t="s">
        <v>3013</v>
      </c>
      <c r="AA187" t="s">
        <v>74</v>
      </c>
      <c r="AB187" t="s">
        <v>74</v>
      </c>
      <c r="AC187" t="s">
        <v>2531</v>
      </c>
      <c r="AD187" t="s">
        <v>413</v>
      </c>
      <c r="AE187" t="s">
        <v>74</v>
      </c>
      <c r="AF187" t="s">
        <v>74</v>
      </c>
      <c r="AG187">
        <v>56</v>
      </c>
      <c r="AH187">
        <v>20</v>
      </c>
      <c r="AI187">
        <v>21</v>
      </c>
      <c r="AJ187">
        <v>1</v>
      </c>
      <c r="AK187">
        <v>25</v>
      </c>
      <c r="AL187" t="s">
        <v>115</v>
      </c>
      <c r="AM187" t="s">
        <v>116</v>
      </c>
      <c r="AN187" t="s">
        <v>117</v>
      </c>
      <c r="AO187" t="s">
        <v>3014</v>
      </c>
      <c r="AP187" t="s">
        <v>3015</v>
      </c>
      <c r="AQ187" t="s">
        <v>74</v>
      </c>
      <c r="AR187" t="s">
        <v>3016</v>
      </c>
      <c r="AS187" t="s">
        <v>3017</v>
      </c>
      <c r="AT187" t="s">
        <v>2635</v>
      </c>
      <c r="AU187">
        <v>2006</v>
      </c>
      <c r="AV187">
        <v>37</v>
      </c>
      <c r="AW187">
        <v>4</v>
      </c>
      <c r="AX187" t="s">
        <v>74</v>
      </c>
      <c r="AY187" t="s">
        <v>74</v>
      </c>
      <c r="AZ187" t="s">
        <v>74</v>
      </c>
      <c r="BA187" t="s">
        <v>74</v>
      </c>
      <c r="BB187">
        <v>331</v>
      </c>
      <c r="BC187">
        <v>338</v>
      </c>
      <c r="BD187" t="s">
        <v>74</v>
      </c>
      <c r="BE187" t="s">
        <v>3018</v>
      </c>
      <c r="BF187" t="str">
        <f>HYPERLINK("http://dx.doi.org/10.1111/j.2006.0908-8857.03634.x","http://dx.doi.org/10.1111/j.2006.0908-8857.03634.x")</f>
        <v>http://dx.doi.org/10.1111/j.2006.0908-8857.03634.x</v>
      </c>
      <c r="BG187" t="s">
        <v>74</v>
      </c>
      <c r="BH187" t="s">
        <v>74</v>
      </c>
      <c r="BI187">
        <v>8</v>
      </c>
      <c r="BJ187" t="s">
        <v>999</v>
      </c>
      <c r="BK187" t="s">
        <v>97</v>
      </c>
      <c r="BL187" t="s">
        <v>1000</v>
      </c>
      <c r="BM187" t="s">
        <v>3019</v>
      </c>
      <c r="BN187" t="s">
        <v>74</v>
      </c>
      <c r="BO187" t="s">
        <v>74</v>
      </c>
      <c r="BP187" t="s">
        <v>74</v>
      </c>
      <c r="BQ187" t="s">
        <v>74</v>
      </c>
      <c r="BR187" t="s">
        <v>100</v>
      </c>
      <c r="BS187" t="s">
        <v>3020</v>
      </c>
      <c r="BT187" t="str">
        <f>HYPERLINK("https%3A%2F%2Fwww.webofscience.com%2Fwos%2Fwoscc%2Ffull-record%2FWOS:000238486700007","View Full Record in Web of Science")</f>
        <v>View Full Record in Web of Science</v>
      </c>
    </row>
    <row r="188" spans="1:72" x14ac:dyDescent="0.15">
      <c r="A188" t="s">
        <v>72</v>
      </c>
      <c r="B188" t="s">
        <v>3021</v>
      </c>
      <c r="C188" t="s">
        <v>74</v>
      </c>
      <c r="D188" t="s">
        <v>74</v>
      </c>
      <c r="E188" t="s">
        <v>74</v>
      </c>
      <c r="F188" t="s">
        <v>3021</v>
      </c>
      <c r="G188" t="s">
        <v>74</v>
      </c>
      <c r="H188" t="s">
        <v>74</v>
      </c>
      <c r="I188" t="s">
        <v>3022</v>
      </c>
      <c r="J188" t="s">
        <v>3023</v>
      </c>
      <c r="K188" t="s">
        <v>74</v>
      </c>
      <c r="L188" t="s">
        <v>74</v>
      </c>
      <c r="M188" t="s">
        <v>78</v>
      </c>
      <c r="N188" t="s">
        <v>79</v>
      </c>
      <c r="O188" t="s">
        <v>74</v>
      </c>
      <c r="P188" t="s">
        <v>74</v>
      </c>
      <c r="Q188" t="s">
        <v>74</v>
      </c>
      <c r="R188" t="s">
        <v>74</v>
      </c>
      <c r="S188" t="s">
        <v>74</v>
      </c>
      <c r="T188" t="s">
        <v>3024</v>
      </c>
      <c r="U188" t="s">
        <v>3025</v>
      </c>
      <c r="V188" t="s">
        <v>3026</v>
      </c>
      <c r="W188" t="s">
        <v>3027</v>
      </c>
      <c r="X188" t="s">
        <v>3028</v>
      </c>
      <c r="Y188" t="s">
        <v>3029</v>
      </c>
      <c r="Z188" t="s">
        <v>3030</v>
      </c>
      <c r="AA188" t="s">
        <v>3031</v>
      </c>
      <c r="AB188" t="s">
        <v>3032</v>
      </c>
      <c r="AC188" t="s">
        <v>579</v>
      </c>
      <c r="AD188" t="s">
        <v>413</v>
      </c>
      <c r="AE188" t="s">
        <v>74</v>
      </c>
      <c r="AF188" t="s">
        <v>74</v>
      </c>
      <c r="AG188">
        <v>42</v>
      </c>
      <c r="AH188">
        <v>34</v>
      </c>
      <c r="AI188">
        <v>38</v>
      </c>
      <c r="AJ188">
        <v>1</v>
      </c>
      <c r="AK188">
        <v>13</v>
      </c>
      <c r="AL188" t="s">
        <v>840</v>
      </c>
      <c r="AM188" t="s">
        <v>388</v>
      </c>
      <c r="AN188" t="s">
        <v>841</v>
      </c>
      <c r="AO188" t="s">
        <v>3033</v>
      </c>
      <c r="AP188" t="s">
        <v>74</v>
      </c>
      <c r="AQ188" t="s">
        <v>74</v>
      </c>
      <c r="AR188" t="s">
        <v>3034</v>
      </c>
      <c r="AS188" t="s">
        <v>3035</v>
      </c>
      <c r="AT188" t="s">
        <v>2635</v>
      </c>
      <c r="AU188">
        <v>2006</v>
      </c>
      <c r="AV188">
        <v>33</v>
      </c>
      <c r="AW188">
        <v>7</v>
      </c>
      <c r="AX188" t="s">
        <v>74</v>
      </c>
      <c r="AY188" t="s">
        <v>74</v>
      </c>
      <c r="AZ188" t="s">
        <v>74</v>
      </c>
      <c r="BA188" t="s">
        <v>74</v>
      </c>
      <c r="BB188">
        <v>1314</v>
      </c>
      <c r="BC188">
        <v>1323</v>
      </c>
      <c r="BD188" t="s">
        <v>74</v>
      </c>
      <c r="BE188" t="s">
        <v>3036</v>
      </c>
      <c r="BF188" t="str">
        <f>HYPERLINK("http://dx.doi.org/10.1111/j.1365-2699.2006.01490.x","http://dx.doi.org/10.1111/j.1365-2699.2006.01490.x")</f>
        <v>http://dx.doi.org/10.1111/j.1365-2699.2006.01490.x</v>
      </c>
      <c r="BG188" t="s">
        <v>74</v>
      </c>
      <c r="BH188" t="s">
        <v>74</v>
      </c>
      <c r="BI188">
        <v>10</v>
      </c>
      <c r="BJ188" t="s">
        <v>3037</v>
      </c>
      <c r="BK188" t="s">
        <v>97</v>
      </c>
      <c r="BL188" t="s">
        <v>145</v>
      </c>
      <c r="BM188" t="s">
        <v>3038</v>
      </c>
      <c r="BN188" t="s">
        <v>74</v>
      </c>
      <c r="BO188" t="s">
        <v>74</v>
      </c>
      <c r="BP188" t="s">
        <v>74</v>
      </c>
      <c r="BQ188" t="s">
        <v>74</v>
      </c>
      <c r="BR188" t="s">
        <v>100</v>
      </c>
      <c r="BS188" t="s">
        <v>3039</v>
      </c>
      <c r="BT188" t="str">
        <f>HYPERLINK("https%3A%2F%2Fwww.webofscience.com%2Fwos%2Fwoscc%2Ffull-record%2FWOS:000238104700018","View Full Record in Web of Science")</f>
        <v>View Full Record in Web of Science</v>
      </c>
    </row>
    <row r="189" spans="1:72" x14ac:dyDescent="0.15">
      <c r="A189" t="s">
        <v>72</v>
      </c>
      <c r="B189" t="s">
        <v>3040</v>
      </c>
      <c r="C189" t="s">
        <v>74</v>
      </c>
      <c r="D189" t="s">
        <v>74</v>
      </c>
      <c r="E189" t="s">
        <v>74</v>
      </c>
      <c r="F189" t="s">
        <v>3040</v>
      </c>
      <c r="G189" t="s">
        <v>74</v>
      </c>
      <c r="H189" t="s">
        <v>74</v>
      </c>
      <c r="I189" t="s">
        <v>3041</v>
      </c>
      <c r="J189" t="s">
        <v>3042</v>
      </c>
      <c r="K189" t="s">
        <v>74</v>
      </c>
      <c r="L189" t="s">
        <v>74</v>
      </c>
      <c r="M189" t="s">
        <v>78</v>
      </c>
      <c r="N189" t="s">
        <v>79</v>
      </c>
      <c r="O189" t="s">
        <v>74</v>
      </c>
      <c r="P189" t="s">
        <v>74</v>
      </c>
      <c r="Q189" t="s">
        <v>74</v>
      </c>
      <c r="R189" t="s">
        <v>74</v>
      </c>
      <c r="S189" t="s">
        <v>74</v>
      </c>
      <c r="T189" t="s">
        <v>3043</v>
      </c>
      <c r="U189" t="s">
        <v>3044</v>
      </c>
      <c r="V189" t="s">
        <v>3045</v>
      </c>
      <c r="W189" t="s">
        <v>3046</v>
      </c>
      <c r="X189" t="s">
        <v>3047</v>
      </c>
      <c r="Y189" t="s">
        <v>3048</v>
      </c>
      <c r="Z189" t="s">
        <v>3049</v>
      </c>
      <c r="AA189" t="s">
        <v>74</v>
      </c>
      <c r="AB189" t="s">
        <v>74</v>
      </c>
      <c r="AC189" t="s">
        <v>74</v>
      </c>
      <c r="AD189" t="s">
        <v>74</v>
      </c>
      <c r="AE189" t="s">
        <v>74</v>
      </c>
      <c r="AF189" t="s">
        <v>74</v>
      </c>
      <c r="AG189">
        <v>29</v>
      </c>
      <c r="AH189">
        <v>44</v>
      </c>
      <c r="AI189">
        <v>48</v>
      </c>
      <c r="AJ189">
        <v>0</v>
      </c>
      <c r="AK189">
        <v>5</v>
      </c>
      <c r="AL189" t="s">
        <v>1261</v>
      </c>
      <c r="AM189" t="s">
        <v>520</v>
      </c>
      <c r="AN189" t="s">
        <v>1262</v>
      </c>
      <c r="AO189" t="s">
        <v>3050</v>
      </c>
      <c r="AP189" t="s">
        <v>74</v>
      </c>
      <c r="AQ189" t="s">
        <v>74</v>
      </c>
      <c r="AR189" t="s">
        <v>3051</v>
      </c>
      <c r="AS189" t="s">
        <v>3052</v>
      </c>
      <c r="AT189" t="s">
        <v>2635</v>
      </c>
      <c r="AU189">
        <v>2006</v>
      </c>
      <c r="AV189">
        <v>30</v>
      </c>
      <c r="AW189">
        <v>7</v>
      </c>
      <c r="AX189" t="s">
        <v>74</v>
      </c>
      <c r="AY189" t="s">
        <v>74</v>
      </c>
      <c r="AZ189" t="s">
        <v>74</v>
      </c>
      <c r="BA189" t="s">
        <v>74</v>
      </c>
      <c r="BB189">
        <v>1131</v>
      </c>
      <c r="BC189">
        <v>1158</v>
      </c>
      <c r="BD189" t="s">
        <v>74</v>
      </c>
      <c r="BE189" t="s">
        <v>3053</v>
      </c>
      <c r="BF189" t="str">
        <f>HYPERLINK("http://dx.doi.org/10.1016/j.jedc.2005.04.004","http://dx.doi.org/10.1016/j.jedc.2005.04.004")</f>
        <v>http://dx.doi.org/10.1016/j.jedc.2005.04.004</v>
      </c>
      <c r="BG189" t="s">
        <v>74</v>
      </c>
      <c r="BH189" t="s">
        <v>74</v>
      </c>
      <c r="BI189">
        <v>28</v>
      </c>
      <c r="BJ189" t="s">
        <v>3054</v>
      </c>
      <c r="BK189" t="s">
        <v>3055</v>
      </c>
      <c r="BL189" t="s">
        <v>3056</v>
      </c>
      <c r="BM189" t="s">
        <v>3057</v>
      </c>
      <c r="BN189" t="s">
        <v>74</v>
      </c>
      <c r="BO189" t="s">
        <v>74</v>
      </c>
      <c r="BP189" t="s">
        <v>74</v>
      </c>
      <c r="BQ189" t="s">
        <v>74</v>
      </c>
      <c r="BR189" t="s">
        <v>100</v>
      </c>
      <c r="BS189" t="s">
        <v>3058</v>
      </c>
      <c r="BT189" t="str">
        <f>HYPERLINK("https%3A%2F%2Fwww.webofscience.com%2Fwos%2Fwoscc%2Ffull-record%2FWOS:000238642900003","View Full Record in Web of Science")</f>
        <v>View Full Record in Web of Science</v>
      </c>
    </row>
    <row r="190" spans="1:72" x14ac:dyDescent="0.15">
      <c r="A190" t="s">
        <v>72</v>
      </c>
      <c r="B190" t="s">
        <v>3059</v>
      </c>
      <c r="C190" t="s">
        <v>74</v>
      </c>
      <c r="D190" t="s">
        <v>74</v>
      </c>
      <c r="E190" t="s">
        <v>74</v>
      </c>
      <c r="F190" t="s">
        <v>3060</v>
      </c>
      <c r="G190" t="s">
        <v>74</v>
      </c>
      <c r="H190" t="s">
        <v>74</v>
      </c>
      <c r="I190" t="s">
        <v>3061</v>
      </c>
      <c r="J190" t="s">
        <v>3062</v>
      </c>
      <c r="K190" t="s">
        <v>74</v>
      </c>
      <c r="L190" t="s">
        <v>74</v>
      </c>
      <c r="M190" t="s">
        <v>78</v>
      </c>
      <c r="N190" t="s">
        <v>79</v>
      </c>
      <c r="O190" t="s">
        <v>74</v>
      </c>
      <c r="P190" t="s">
        <v>74</v>
      </c>
      <c r="Q190" t="s">
        <v>74</v>
      </c>
      <c r="R190" t="s">
        <v>74</v>
      </c>
      <c r="S190" t="s">
        <v>74</v>
      </c>
      <c r="T190" t="s">
        <v>74</v>
      </c>
      <c r="U190" t="s">
        <v>3063</v>
      </c>
      <c r="V190" t="s">
        <v>3064</v>
      </c>
      <c r="W190" t="s">
        <v>3065</v>
      </c>
      <c r="X190" t="s">
        <v>3066</v>
      </c>
      <c r="Y190" t="s">
        <v>3067</v>
      </c>
      <c r="Z190" t="s">
        <v>3068</v>
      </c>
      <c r="AA190" t="s">
        <v>74</v>
      </c>
      <c r="AB190" t="s">
        <v>74</v>
      </c>
      <c r="AC190" t="s">
        <v>74</v>
      </c>
      <c r="AD190" t="s">
        <v>74</v>
      </c>
      <c r="AE190" t="s">
        <v>74</v>
      </c>
      <c r="AF190" t="s">
        <v>74</v>
      </c>
      <c r="AG190">
        <v>30</v>
      </c>
      <c r="AH190">
        <v>12</v>
      </c>
      <c r="AI190">
        <v>12</v>
      </c>
      <c r="AJ190">
        <v>0</v>
      </c>
      <c r="AK190">
        <v>7</v>
      </c>
      <c r="AL190" t="s">
        <v>115</v>
      </c>
      <c r="AM190" t="s">
        <v>116</v>
      </c>
      <c r="AN190" t="s">
        <v>117</v>
      </c>
      <c r="AO190" t="s">
        <v>3069</v>
      </c>
      <c r="AP190" t="s">
        <v>74</v>
      </c>
      <c r="AQ190" t="s">
        <v>74</v>
      </c>
      <c r="AR190" t="s">
        <v>3070</v>
      </c>
      <c r="AS190" t="s">
        <v>3071</v>
      </c>
      <c r="AT190" t="s">
        <v>2809</v>
      </c>
      <c r="AU190">
        <v>2006</v>
      </c>
      <c r="AV190" t="s">
        <v>3072</v>
      </c>
      <c r="AW190">
        <v>7</v>
      </c>
      <c r="AX190" t="s">
        <v>74</v>
      </c>
      <c r="AY190" t="s">
        <v>74</v>
      </c>
      <c r="AZ190" t="s">
        <v>74</v>
      </c>
      <c r="BA190" t="s">
        <v>74</v>
      </c>
      <c r="BB190">
        <v>570</v>
      </c>
      <c r="BC190">
        <v>575</v>
      </c>
      <c r="BD190" t="s">
        <v>74</v>
      </c>
      <c r="BE190" t="s">
        <v>3073</v>
      </c>
      <c r="BF190" t="str">
        <f>HYPERLINK("http://dx.doi.org/10.1002/jez.a.300","http://dx.doi.org/10.1002/jez.a.300")</f>
        <v>http://dx.doi.org/10.1002/jez.a.300</v>
      </c>
      <c r="BG190" t="s">
        <v>74</v>
      </c>
      <c r="BH190" t="s">
        <v>74</v>
      </c>
      <c r="BI190">
        <v>6</v>
      </c>
      <c r="BJ190" t="s">
        <v>1000</v>
      </c>
      <c r="BK190" t="s">
        <v>97</v>
      </c>
      <c r="BL190" t="s">
        <v>1000</v>
      </c>
      <c r="BM190" t="s">
        <v>3074</v>
      </c>
      <c r="BN190">
        <v>16703608</v>
      </c>
      <c r="BO190" t="s">
        <v>74</v>
      </c>
      <c r="BP190" t="s">
        <v>74</v>
      </c>
      <c r="BQ190" t="s">
        <v>74</v>
      </c>
      <c r="BR190" t="s">
        <v>100</v>
      </c>
      <c r="BS190" t="s">
        <v>3075</v>
      </c>
      <c r="BT190" t="str">
        <f>HYPERLINK("https%3A%2F%2Fwww.webofscience.com%2Fwos%2Fwoscc%2Ffull-record%2FWOS:000238626500005","View Full Record in Web of Science")</f>
        <v>View Full Record in Web of Science</v>
      </c>
    </row>
    <row r="191" spans="1:72" x14ac:dyDescent="0.15">
      <c r="A191" t="s">
        <v>72</v>
      </c>
      <c r="B191" t="s">
        <v>3076</v>
      </c>
      <c r="C191" t="s">
        <v>74</v>
      </c>
      <c r="D191" t="s">
        <v>74</v>
      </c>
      <c r="E191" t="s">
        <v>74</v>
      </c>
      <c r="F191" t="s">
        <v>3077</v>
      </c>
      <c r="G191" t="s">
        <v>74</v>
      </c>
      <c r="H191" t="s">
        <v>74</v>
      </c>
      <c r="I191" t="s">
        <v>3078</v>
      </c>
      <c r="J191" t="s">
        <v>3079</v>
      </c>
      <c r="K191" t="s">
        <v>74</v>
      </c>
      <c r="L191" t="s">
        <v>74</v>
      </c>
      <c r="M191" t="s">
        <v>78</v>
      </c>
      <c r="N191" t="s">
        <v>79</v>
      </c>
      <c r="O191" t="s">
        <v>74</v>
      </c>
      <c r="P191" t="s">
        <v>74</v>
      </c>
      <c r="Q191" t="s">
        <v>74</v>
      </c>
      <c r="R191" t="s">
        <v>74</v>
      </c>
      <c r="S191" t="s">
        <v>74</v>
      </c>
      <c r="T191" t="s">
        <v>3080</v>
      </c>
      <c r="U191" t="s">
        <v>74</v>
      </c>
      <c r="V191" t="s">
        <v>3081</v>
      </c>
      <c r="W191" t="s">
        <v>3082</v>
      </c>
      <c r="X191" t="s">
        <v>74</v>
      </c>
      <c r="Y191" t="s">
        <v>3083</v>
      </c>
      <c r="Z191" t="s">
        <v>3084</v>
      </c>
      <c r="AA191" t="s">
        <v>3085</v>
      </c>
      <c r="AB191" t="s">
        <v>74</v>
      </c>
      <c r="AC191" t="s">
        <v>74</v>
      </c>
      <c r="AD191" t="s">
        <v>74</v>
      </c>
      <c r="AE191" t="s">
        <v>74</v>
      </c>
      <c r="AF191" t="s">
        <v>74</v>
      </c>
      <c r="AG191">
        <v>5</v>
      </c>
      <c r="AH191">
        <v>0</v>
      </c>
      <c r="AI191">
        <v>0</v>
      </c>
      <c r="AJ191">
        <v>0</v>
      </c>
      <c r="AK191">
        <v>3</v>
      </c>
      <c r="AL191" t="s">
        <v>994</v>
      </c>
      <c r="AM191" t="s">
        <v>476</v>
      </c>
      <c r="AN191" t="s">
        <v>1519</v>
      </c>
      <c r="AO191" t="s">
        <v>3086</v>
      </c>
      <c r="AP191" t="s">
        <v>3087</v>
      </c>
      <c r="AQ191" t="s">
        <v>74</v>
      </c>
      <c r="AR191" t="s">
        <v>3088</v>
      </c>
      <c r="AS191" t="s">
        <v>3089</v>
      </c>
      <c r="AT191" t="s">
        <v>2635</v>
      </c>
      <c r="AU191">
        <v>2006</v>
      </c>
      <c r="AV191">
        <v>18</v>
      </c>
      <c r="AW191">
        <v>3</v>
      </c>
      <c r="AX191" t="s">
        <v>74</v>
      </c>
      <c r="AY191" t="s">
        <v>652</v>
      </c>
      <c r="AZ191" t="s">
        <v>74</v>
      </c>
      <c r="BA191" t="s">
        <v>74</v>
      </c>
      <c r="BB191">
        <v>477</v>
      </c>
      <c r="BC191">
        <v>481</v>
      </c>
      <c r="BD191" t="s">
        <v>74</v>
      </c>
      <c r="BE191" t="s">
        <v>3090</v>
      </c>
      <c r="BF191" t="str">
        <f>HYPERLINK("http://dx.doi.org/10.1016/S1001-6058(06)60097-8","http://dx.doi.org/10.1016/S1001-6058(06)60097-8")</f>
        <v>http://dx.doi.org/10.1016/S1001-6058(06)60097-8</v>
      </c>
      <c r="BG191" t="s">
        <v>74</v>
      </c>
      <c r="BH191" t="s">
        <v>74</v>
      </c>
      <c r="BI191">
        <v>5</v>
      </c>
      <c r="BJ191" t="s">
        <v>3091</v>
      </c>
      <c r="BK191" t="s">
        <v>97</v>
      </c>
      <c r="BL191" t="s">
        <v>3091</v>
      </c>
      <c r="BM191" t="s">
        <v>3092</v>
      </c>
      <c r="BN191" t="s">
        <v>74</v>
      </c>
      <c r="BO191" t="s">
        <v>74</v>
      </c>
      <c r="BP191" t="s">
        <v>74</v>
      </c>
      <c r="BQ191" t="s">
        <v>74</v>
      </c>
      <c r="BR191" t="s">
        <v>100</v>
      </c>
      <c r="BS191" t="s">
        <v>3093</v>
      </c>
      <c r="BT191" t="str">
        <f>HYPERLINK("https%3A%2F%2Fwww.webofscience.com%2Fwos%2Fwoscc%2Ffull-record%2FWOS:000208248700077","View Full Record in Web of Science")</f>
        <v>View Full Record in Web of Science</v>
      </c>
    </row>
    <row r="192" spans="1:72" x14ac:dyDescent="0.15">
      <c r="A192" t="s">
        <v>72</v>
      </c>
      <c r="B192" t="s">
        <v>3094</v>
      </c>
      <c r="C192" t="s">
        <v>74</v>
      </c>
      <c r="D192" t="s">
        <v>74</v>
      </c>
      <c r="E192" t="s">
        <v>74</v>
      </c>
      <c r="F192" t="s">
        <v>3095</v>
      </c>
      <c r="G192" t="s">
        <v>74</v>
      </c>
      <c r="H192" t="s">
        <v>74</v>
      </c>
      <c r="I192" t="s">
        <v>3096</v>
      </c>
      <c r="J192" t="s">
        <v>3097</v>
      </c>
      <c r="K192" t="s">
        <v>74</v>
      </c>
      <c r="L192" t="s">
        <v>74</v>
      </c>
      <c r="M192" t="s">
        <v>78</v>
      </c>
      <c r="N192" t="s">
        <v>79</v>
      </c>
      <c r="O192" t="s">
        <v>74</v>
      </c>
      <c r="P192" t="s">
        <v>74</v>
      </c>
      <c r="Q192" t="s">
        <v>74</v>
      </c>
      <c r="R192" t="s">
        <v>74</v>
      </c>
      <c r="S192" t="s">
        <v>74</v>
      </c>
      <c r="T192" t="s">
        <v>74</v>
      </c>
      <c r="U192" t="s">
        <v>3098</v>
      </c>
      <c r="V192" t="s">
        <v>3099</v>
      </c>
      <c r="W192" t="s">
        <v>3100</v>
      </c>
      <c r="X192" t="s">
        <v>3101</v>
      </c>
      <c r="Y192" t="s">
        <v>3102</v>
      </c>
      <c r="Z192" t="s">
        <v>3103</v>
      </c>
      <c r="AA192" t="s">
        <v>3104</v>
      </c>
      <c r="AB192" t="s">
        <v>3105</v>
      </c>
      <c r="AC192" t="s">
        <v>74</v>
      </c>
      <c r="AD192" t="s">
        <v>74</v>
      </c>
      <c r="AE192" t="s">
        <v>74</v>
      </c>
      <c r="AF192" t="s">
        <v>74</v>
      </c>
      <c r="AG192">
        <v>19</v>
      </c>
      <c r="AH192">
        <v>6</v>
      </c>
      <c r="AI192">
        <v>6</v>
      </c>
      <c r="AJ192">
        <v>0</v>
      </c>
      <c r="AK192">
        <v>0</v>
      </c>
      <c r="AL192" t="s">
        <v>3106</v>
      </c>
      <c r="AM192" t="s">
        <v>3107</v>
      </c>
      <c r="AN192" t="s">
        <v>3108</v>
      </c>
      <c r="AO192" t="s">
        <v>3109</v>
      </c>
      <c r="AP192" t="s">
        <v>74</v>
      </c>
      <c r="AQ192" t="s">
        <v>74</v>
      </c>
      <c r="AR192" t="s">
        <v>3110</v>
      </c>
      <c r="AS192" t="s">
        <v>3111</v>
      </c>
      <c r="AT192" t="s">
        <v>2635</v>
      </c>
      <c r="AU192">
        <v>2006</v>
      </c>
      <c r="AV192">
        <v>10</v>
      </c>
      <c r="AW192">
        <v>3</v>
      </c>
      <c r="AX192" t="s">
        <v>74</v>
      </c>
      <c r="AY192" t="s">
        <v>74</v>
      </c>
      <c r="AZ192" t="s">
        <v>74</v>
      </c>
      <c r="BA192" t="s">
        <v>74</v>
      </c>
      <c r="BB192">
        <v>219</v>
      </c>
      <c r="BC192">
        <v>229</v>
      </c>
      <c r="BD192" t="s">
        <v>74</v>
      </c>
      <c r="BE192" t="s">
        <v>74</v>
      </c>
      <c r="BF192" t="s">
        <v>74</v>
      </c>
      <c r="BG192" t="s">
        <v>74</v>
      </c>
      <c r="BH192" t="s">
        <v>74</v>
      </c>
      <c r="BI192">
        <v>11</v>
      </c>
      <c r="BJ192" t="s">
        <v>608</v>
      </c>
      <c r="BK192" t="s">
        <v>3112</v>
      </c>
      <c r="BL192" t="s">
        <v>608</v>
      </c>
      <c r="BM192" t="s">
        <v>3113</v>
      </c>
      <c r="BN192" t="s">
        <v>74</v>
      </c>
      <c r="BO192" t="s">
        <v>74</v>
      </c>
      <c r="BP192" t="s">
        <v>74</v>
      </c>
      <c r="BQ192" t="s">
        <v>74</v>
      </c>
      <c r="BR192" t="s">
        <v>100</v>
      </c>
      <c r="BS192" t="s">
        <v>3114</v>
      </c>
      <c r="BT192" t="str">
        <f>HYPERLINK("https%3A%2F%2Fwww.webofscience.com%2Fwos%2Fwoscc%2Ffull-record%2FWOS:000421653300006","View Full Record in Web of Science")</f>
        <v>View Full Record in Web of Science</v>
      </c>
    </row>
    <row r="193" spans="1:72" x14ac:dyDescent="0.15">
      <c r="A193" t="s">
        <v>72</v>
      </c>
      <c r="B193" t="s">
        <v>3115</v>
      </c>
      <c r="C193" t="s">
        <v>74</v>
      </c>
      <c r="D193" t="s">
        <v>74</v>
      </c>
      <c r="E193" t="s">
        <v>74</v>
      </c>
      <c r="F193" t="s">
        <v>3116</v>
      </c>
      <c r="G193" t="s">
        <v>74</v>
      </c>
      <c r="H193" t="s">
        <v>74</v>
      </c>
      <c r="I193" t="s">
        <v>3117</v>
      </c>
      <c r="J193" t="s">
        <v>3118</v>
      </c>
      <c r="K193" t="s">
        <v>74</v>
      </c>
      <c r="L193" t="s">
        <v>74</v>
      </c>
      <c r="M193" t="s">
        <v>78</v>
      </c>
      <c r="N193" t="s">
        <v>79</v>
      </c>
      <c r="O193" t="s">
        <v>74</v>
      </c>
      <c r="P193" t="s">
        <v>74</v>
      </c>
      <c r="Q193" t="s">
        <v>74</v>
      </c>
      <c r="R193" t="s">
        <v>74</v>
      </c>
      <c r="S193" t="s">
        <v>74</v>
      </c>
      <c r="T193" t="s">
        <v>3119</v>
      </c>
      <c r="U193" t="s">
        <v>3120</v>
      </c>
      <c r="V193" t="s">
        <v>3121</v>
      </c>
      <c r="W193" t="s">
        <v>3122</v>
      </c>
      <c r="X193" t="s">
        <v>3123</v>
      </c>
      <c r="Y193" t="s">
        <v>3124</v>
      </c>
      <c r="Z193" t="s">
        <v>3125</v>
      </c>
      <c r="AA193" t="s">
        <v>3126</v>
      </c>
      <c r="AB193" t="s">
        <v>3127</v>
      </c>
      <c r="AC193" t="s">
        <v>74</v>
      </c>
      <c r="AD193" t="s">
        <v>74</v>
      </c>
      <c r="AE193" t="s">
        <v>74</v>
      </c>
      <c r="AF193" t="s">
        <v>74</v>
      </c>
      <c r="AG193">
        <v>56</v>
      </c>
      <c r="AH193">
        <v>56</v>
      </c>
      <c r="AI193">
        <v>61</v>
      </c>
      <c r="AJ193">
        <v>0</v>
      </c>
      <c r="AK193">
        <v>38</v>
      </c>
      <c r="AL193" t="s">
        <v>387</v>
      </c>
      <c r="AM193" t="s">
        <v>388</v>
      </c>
      <c r="AN193" t="s">
        <v>389</v>
      </c>
      <c r="AO193" t="s">
        <v>3128</v>
      </c>
      <c r="AP193" t="s">
        <v>3129</v>
      </c>
      <c r="AQ193" t="s">
        <v>74</v>
      </c>
      <c r="AR193" t="s">
        <v>3130</v>
      </c>
      <c r="AS193" t="s">
        <v>3131</v>
      </c>
      <c r="AT193" t="s">
        <v>2635</v>
      </c>
      <c r="AU193">
        <v>2006</v>
      </c>
      <c r="AV193">
        <v>52</v>
      </c>
      <c r="AW193">
        <v>7</v>
      </c>
      <c r="AX193" t="s">
        <v>74</v>
      </c>
      <c r="AY193" t="s">
        <v>74</v>
      </c>
      <c r="AZ193" t="s">
        <v>74</v>
      </c>
      <c r="BA193" t="s">
        <v>74</v>
      </c>
      <c r="BB193">
        <v>693</v>
      </c>
      <c r="BC193">
        <v>700</v>
      </c>
      <c r="BD193" t="s">
        <v>74</v>
      </c>
      <c r="BE193" t="s">
        <v>3132</v>
      </c>
      <c r="BF193" t="str">
        <f>HYPERLINK("http://dx.doi.org/10.1016/j.jinsphys.2006.03.009","http://dx.doi.org/10.1016/j.jinsphys.2006.03.009")</f>
        <v>http://dx.doi.org/10.1016/j.jinsphys.2006.03.009</v>
      </c>
      <c r="BG193" t="s">
        <v>74</v>
      </c>
      <c r="BH193" t="s">
        <v>74</v>
      </c>
      <c r="BI193">
        <v>8</v>
      </c>
      <c r="BJ193" t="s">
        <v>3133</v>
      </c>
      <c r="BK193" t="s">
        <v>97</v>
      </c>
      <c r="BL193" t="s">
        <v>3133</v>
      </c>
      <c r="BM193" t="s">
        <v>3134</v>
      </c>
      <c r="BN193">
        <v>16750541</v>
      </c>
      <c r="BO193" t="s">
        <v>74</v>
      </c>
      <c r="BP193" t="s">
        <v>74</v>
      </c>
      <c r="BQ193" t="s">
        <v>74</v>
      </c>
      <c r="BR193" t="s">
        <v>100</v>
      </c>
      <c r="BS193" t="s">
        <v>3135</v>
      </c>
      <c r="BT193" t="str">
        <f>HYPERLINK("https%3A%2F%2Fwww.webofscience.com%2Fwos%2Fwoscc%2Ffull-record%2FWOS:000239081500005","View Full Record in Web of Science")</f>
        <v>View Full Record in Web of Science</v>
      </c>
    </row>
    <row r="194" spans="1:72" x14ac:dyDescent="0.15">
      <c r="A194" t="s">
        <v>72</v>
      </c>
      <c r="B194" t="s">
        <v>3136</v>
      </c>
      <c r="C194" t="s">
        <v>74</v>
      </c>
      <c r="D194" t="s">
        <v>74</v>
      </c>
      <c r="E194" t="s">
        <v>74</v>
      </c>
      <c r="F194" t="s">
        <v>3137</v>
      </c>
      <c r="G194" t="s">
        <v>74</v>
      </c>
      <c r="H194" t="s">
        <v>74</v>
      </c>
      <c r="I194" t="s">
        <v>3138</v>
      </c>
      <c r="J194" t="s">
        <v>3139</v>
      </c>
      <c r="K194" t="s">
        <v>74</v>
      </c>
      <c r="L194" t="s">
        <v>74</v>
      </c>
      <c r="M194" t="s">
        <v>78</v>
      </c>
      <c r="N194" t="s">
        <v>79</v>
      </c>
      <c r="O194" t="s">
        <v>74</v>
      </c>
      <c r="P194" t="s">
        <v>74</v>
      </c>
      <c r="Q194" t="s">
        <v>74</v>
      </c>
      <c r="R194" t="s">
        <v>74</v>
      </c>
      <c r="S194" t="s">
        <v>74</v>
      </c>
      <c r="T194" t="s">
        <v>74</v>
      </c>
      <c r="U194" t="s">
        <v>3140</v>
      </c>
      <c r="V194" t="s">
        <v>3141</v>
      </c>
      <c r="W194" t="s">
        <v>3142</v>
      </c>
      <c r="X194" t="s">
        <v>3143</v>
      </c>
      <c r="Y194" t="s">
        <v>3144</v>
      </c>
      <c r="Z194" t="s">
        <v>3145</v>
      </c>
      <c r="AA194" t="s">
        <v>3146</v>
      </c>
      <c r="AB194" t="s">
        <v>3147</v>
      </c>
      <c r="AC194" t="s">
        <v>74</v>
      </c>
      <c r="AD194" t="s">
        <v>74</v>
      </c>
      <c r="AE194" t="s">
        <v>74</v>
      </c>
      <c r="AF194" t="s">
        <v>74</v>
      </c>
      <c r="AG194">
        <v>38</v>
      </c>
      <c r="AH194">
        <v>11</v>
      </c>
      <c r="AI194">
        <v>11</v>
      </c>
      <c r="AJ194">
        <v>0</v>
      </c>
      <c r="AK194">
        <v>14</v>
      </c>
      <c r="AL194" t="s">
        <v>3148</v>
      </c>
      <c r="AM194" t="s">
        <v>3149</v>
      </c>
      <c r="AN194" t="s">
        <v>3150</v>
      </c>
      <c r="AO194" t="s">
        <v>3151</v>
      </c>
      <c r="AP194" t="s">
        <v>3152</v>
      </c>
      <c r="AQ194" t="s">
        <v>74</v>
      </c>
      <c r="AR194" t="s">
        <v>3153</v>
      </c>
      <c r="AS194" t="s">
        <v>3154</v>
      </c>
      <c r="AT194" t="s">
        <v>2635</v>
      </c>
      <c r="AU194">
        <v>2006</v>
      </c>
      <c r="AV194">
        <v>64</v>
      </c>
      <c r="AW194">
        <v>4</v>
      </c>
      <c r="AX194" t="s">
        <v>74</v>
      </c>
      <c r="AY194" t="s">
        <v>74</v>
      </c>
      <c r="AZ194" t="s">
        <v>74</v>
      </c>
      <c r="BA194" t="s">
        <v>74</v>
      </c>
      <c r="BB194">
        <v>517</v>
      </c>
      <c r="BC194">
        <v>540</v>
      </c>
      <c r="BD194" t="s">
        <v>74</v>
      </c>
      <c r="BE194" t="s">
        <v>3155</v>
      </c>
      <c r="BF194" t="str">
        <f>HYPERLINK("http://dx.doi.org/10.1357/002224006778715739","http://dx.doi.org/10.1357/002224006778715739")</f>
        <v>http://dx.doi.org/10.1357/002224006778715739</v>
      </c>
      <c r="BG194" t="s">
        <v>74</v>
      </c>
      <c r="BH194" t="s">
        <v>74</v>
      </c>
      <c r="BI194">
        <v>24</v>
      </c>
      <c r="BJ194" t="s">
        <v>1069</v>
      </c>
      <c r="BK194" t="s">
        <v>97</v>
      </c>
      <c r="BL194" t="s">
        <v>1069</v>
      </c>
      <c r="BM194" t="s">
        <v>3156</v>
      </c>
      <c r="BN194" t="s">
        <v>74</v>
      </c>
      <c r="BO194" t="s">
        <v>74</v>
      </c>
      <c r="BP194" t="s">
        <v>74</v>
      </c>
      <c r="BQ194" t="s">
        <v>74</v>
      </c>
      <c r="BR194" t="s">
        <v>100</v>
      </c>
      <c r="BS194" t="s">
        <v>3157</v>
      </c>
      <c r="BT194" t="str">
        <f>HYPERLINK("https%3A%2F%2Fwww.webofscience.com%2Fwos%2Fwoscc%2Ffull-record%2FWOS:000241539400002","View Full Record in Web of Science")</f>
        <v>View Full Record in Web of Science</v>
      </c>
    </row>
    <row r="195" spans="1:72" x14ac:dyDescent="0.15">
      <c r="A195" t="s">
        <v>72</v>
      </c>
      <c r="B195" t="s">
        <v>3158</v>
      </c>
      <c r="C195" t="s">
        <v>74</v>
      </c>
      <c r="D195" t="s">
        <v>74</v>
      </c>
      <c r="E195" t="s">
        <v>74</v>
      </c>
      <c r="F195" t="s">
        <v>3159</v>
      </c>
      <c r="G195" t="s">
        <v>74</v>
      </c>
      <c r="H195" t="s">
        <v>74</v>
      </c>
      <c r="I195" t="s">
        <v>3160</v>
      </c>
      <c r="J195" t="s">
        <v>990</v>
      </c>
      <c r="K195" t="s">
        <v>74</v>
      </c>
      <c r="L195" t="s">
        <v>74</v>
      </c>
      <c r="M195" t="s">
        <v>78</v>
      </c>
      <c r="N195" t="s">
        <v>79</v>
      </c>
      <c r="O195" t="s">
        <v>74</v>
      </c>
      <c r="P195" t="s">
        <v>74</v>
      </c>
      <c r="Q195" t="s">
        <v>74</v>
      </c>
      <c r="R195" t="s">
        <v>74</v>
      </c>
      <c r="S195" t="s">
        <v>74</v>
      </c>
      <c r="T195" t="s">
        <v>3161</v>
      </c>
      <c r="U195" t="s">
        <v>3162</v>
      </c>
      <c r="V195" t="s">
        <v>3163</v>
      </c>
      <c r="W195" t="s">
        <v>3164</v>
      </c>
      <c r="X195" t="s">
        <v>3165</v>
      </c>
      <c r="Y195" t="s">
        <v>3166</v>
      </c>
      <c r="Z195" t="s">
        <v>3167</v>
      </c>
      <c r="AA195" t="s">
        <v>3168</v>
      </c>
      <c r="AB195" t="s">
        <v>3169</v>
      </c>
      <c r="AC195" t="s">
        <v>74</v>
      </c>
      <c r="AD195" t="s">
        <v>74</v>
      </c>
      <c r="AE195" t="s">
        <v>74</v>
      </c>
      <c r="AF195" t="s">
        <v>74</v>
      </c>
      <c r="AG195">
        <v>29</v>
      </c>
      <c r="AH195">
        <v>28</v>
      </c>
      <c r="AI195">
        <v>35</v>
      </c>
      <c r="AJ195">
        <v>0</v>
      </c>
      <c r="AK195">
        <v>23</v>
      </c>
      <c r="AL195" t="s">
        <v>1009</v>
      </c>
      <c r="AM195" t="s">
        <v>1010</v>
      </c>
      <c r="AN195" t="s">
        <v>1011</v>
      </c>
      <c r="AO195" t="s">
        <v>996</v>
      </c>
      <c r="AP195" t="s">
        <v>1012</v>
      </c>
      <c r="AQ195" t="s">
        <v>74</v>
      </c>
      <c r="AR195" t="s">
        <v>997</v>
      </c>
      <c r="AS195" t="s">
        <v>998</v>
      </c>
      <c r="AT195" t="s">
        <v>2635</v>
      </c>
      <c r="AU195">
        <v>2006</v>
      </c>
      <c r="AV195">
        <v>147</v>
      </c>
      <c r="AW195">
        <v>3</v>
      </c>
      <c r="AX195" t="s">
        <v>74</v>
      </c>
      <c r="AY195" t="s">
        <v>74</v>
      </c>
      <c r="AZ195" t="s">
        <v>74</v>
      </c>
      <c r="BA195" t="s">
        <v>74</v>
      </c>
      <c r="BB195">
        <v>405</v>
      </c>
      <c r="BC195">
        <v>413</v>
      </c>
      <c r="BD195" t="s">
        <v>74</v>
      </c>
      <c r="BE195" t="s">
        <v>3170</v>
      </c>
      <c r="BF195" t="str">
        <f>HYPERLINK("http://dx.doi.org/10.1007/s10336-005-0021-9","http://dx.doi.org/10.1007/s10336-005-0021-9")</f>
        <v>http://dx.doi.org/10.1007/s10336-005-0021-9</v>
      </c>
      <c r="BG195" t="s">
        <v>74</v>
      </c>
      <c r="BH195" t="s">
        <v>74</v>
      </c>
      <c r="BI195">
        <v>9</v>
      </c>
      <c r="BJ195" t="s">
        <v>999</v>
      </c>
      <c r="BK195" t="s">
        <v>97</v>
      </c>
      <c r="BL195" t="s">
        <v>1000</v>
      </c>
      <c r="BM195" t="s">
        <v>3171</v>
      </c>
      <c r="BN195" t="s">
        <v>74</v>
      </c>
      <c r="BO195" t="s">
        <v>74</v>
      </c>
      <c r="BP195" t="s">
        <v>74</v>
      </c>
      <c r="BQ195" t="s">
        <v>74</v>
      </c>
      <c r="BR195" t="s">
        <v>100</v>
      </c>
      <c r="BS195" t="s">
        <v>3172</v>
      </c>
      <c r="BT195" t="str">
        <f>HYPERLINK("https%3A%2F%2Fwww.webofscience.com%2Fwos%2Fwoscc%2Ffull-record%2FWOS:000238025100001","View Full Record in Web of Science")</f>
        <v>View Full Record in Web of Science</v>
      </c>
    </row>
    <row r="196" spans="1:72" x14ac:dyDescent="0.15">
      <c r="A196" t="s">
        <v>72</v>
      </c>
      <c r="B196" t="s">
        <v>3173</v>
      </c>
      <c r="C196" t="s">
        <v>74</v>
      </c>
      <c r="D196" t="s">
        <v>74</v>
      </c>
      <c r="E196" t="s">
        <v>74</v>
      </c>
      <c r="F196" t="s">
        <v>3174</v>
      </c>
      <c r="G196" t="s">
        <v>74</v>
      </c>
      <c r="H196" t="s">
        <v>74</v>
      </c>
      <c r="I196" t="s">
        <v>3175</v>
      </c>
      <c r="J196" t="s">
        <v>1056</v>
      </c>
      <c r="K196" t="s">
        <v>74</v>
      </c>
      <c r="L196" t="s">
        <v>74</v>
      </c>
      <c r="M196" t="s">
        <v>78</v>
      </c>
      <c r="N196" t="s">
        <v>79</v>
      </c>
      <c r="O196" t="s">
        <v>74</v>
      </c>
      <c r="P196" t="s">
        <v>74</v>
      </c>
      <c r="Q196" t="s">
        <v>74</v>
      </c>
      <c r="R196" t="s">
        <v>74</v>
      </c>
      <c r="S196" t="s">
        <v>74</v>
      </c>
      <c r="T196" t="s">
        <v>74</v>
      </c>
      <c r="U196" t="s">
        <v>3176</v>
      </c>
      <c r="V196" t="s">
        <v>3177</v>
      </c>
      <c r="W196" t="s">
        <v>3178</v>
      </c>
      <c r="X196" t="s">
        <v>3179</v>
      </c>
      <c r="Y196" t="s">
        <v>3180</v>
      </c>
      <c r="Z196" t="s">
        <v>3181</v>
      </c>
      <c r="AA196" t="s">
        <v>3182</v>
      </c>
      <c r="AB196" t="s">
        <v>3183</v>
      </c>
      <c r="AC196" t="s">
        <v>74</v>
      </c>
      <c r="AD196" t="s">
        <v>74</v>
      </c>
      <c r="AE196" t="s">
        <v>74</v>
      </c>
      <c r="AF196" t="s">
        <v>74</v>
      </c>
      <c r="AG196">
        <v>34</v>
      </c>
      <c r="AH196">
        <v>46</v>
      </c>
      <c r="AI196">
        <v>52</v>
      </c>
      <c r="AJ196">
        <v>1</v>
      </c>
      <c r="AK196">
        <v>19</v>
      </c>
      <c r="AL196" t="s">
        <v>861</v>
      </c>
      <c r="AM196" t="s">
        <v>862</v>
      </c>
      <c r="AN196" t="s">
        <v>863</v>
      </c>
      <c r="AO196" t="s">
        <v>1065</v>
      </c>
      <c r="AP196" t="s">
        <v>74</v>
      </c>
      <c r="AQ196" t="s">
        <v>74</v>
      </c>
      <c r="AR196" t="s">
        <v>1066</v>
      </c>
      <c r="AS196" t="s">
        <v>1067</v>
      </c>
      <c r="AT196" t="s">
        <v>2635</v>
      </c>
      <c r="AU196">
        <v>2006</v>
      </c>
      <c r="AV196">
        <v>36</v>
      </c>
      <c r="AW196">
        <v>7</v>
      </c>
      <c r="AX196" t="s">
        <v>74</v>
      </c>
      <c r="AY196" t="s">
        <v>74</v>
      </c>
      <c r="AZ196" t="s">
        <v>74</v>
      </c>
      <c r="BA196" t="s">
        <v>74</v>
      </c>
      <c r="BB196">
        <v>1317</v>
      </c>
      <c r="BC196">
        <v>1331</v>
      </c>
      <c r="BD196" t="s">
        <v>74</v>
      </c>
      <c r="BE196" t="s">
        <v>3184</v>
      </c>
      <c r="BF196" t="str">
        <f>HYPERLINK("http://dx.doi.org/10.1175/JPO2913.1","http://dx.doi.org/10.1175/JPO2913.1")</f>
        <v>http://dx.doi.org/10.1175/JPO2913.1</v>
      </c>
      <c r="BG196" t="s">
        <v>74</v>
      </c>
      <c r="BH196" t="s">
        <v>74</v>
      </c>
      <c r="BI196">
        <v>15</v>
      </c>
      <c r="BJ196" t="s">
        <v>1069</v>
      </c>
      <c r="BK196" t="s">
        <v>97</v>
      </c>
      <c r="BL196" t="s">
        <v>1069</v>
      </c>
      <c r="BM196" t="s">
        <v>3185</v>
      </c>
      <c r="BN196" t="s">
        <v>74</v>
      </c>
      <c r="BO196" t="s">
        <v>460</v>
      </c>
      <c r="BP196" t="s">
        <v>74</v>
      </c>
      <c r="BQ196" t="s">
        <v>74</v>
      </c>
      <c r="BR196" t="s">
        <v>100</v>
      </c>
      <c r="BS196" t="s">
        <v>3186</v>
      </c>
      <c r="BT196" t="str">
        <f>HYPERLINK("https%3A%2F%2Fwww.webofscience.com%2Fwos%2Fwoscc%2Ffull-record%2FWOS:000239979600005","View Full Record in Web of Science")</f>
        <v>View Full Record in Web of Science</v>
      </c>
    </row>
    <row r="197" spans="1:72" x14ac:dyDescent="0.15">
      <c r="A197" t="s">
        <v>72</v>
      </c>
      <c r="B197" t="s">
        <v>3187</v>
      </c>
      <c r="C197" t="s">
        <v>74</v>
      </c>
      <c r="D197" t="s">
        <v>74</v>
      </c>
      <c r="E197" t="s">
        <v>74</v>
      </c>
      <c r="F197" t="s">
        <v>3188</v>
      </c>
      <c r="G197" t="s">
        <v>74</v>
      </c>
      <c r="H197" t="s">
        <v>74</v>
      </c>
      <c r="I197" t="s">
        <v>3189</v>
      </c>
      <c r="J197" t="s">
        <v>3190</v>
      </c>
      <c r="K197" t="s">
        <v>74</v>
      </c>
      <c r="L197" t="s">
        <v>74</v>
      </c>
      <c r="M197" t="s">
        <v>78</v>
      </c>
      <c r="N197" t="s">
        <v>1226</v>
      </c>
      <c r="O197" t="s">
        <v>3191</v>
      </c>
      <c r="P197" t="s">
        <v>3192</v>
      </c>
      <c r="Q197" t="s">
        <v>3193</v>
      </c>
      <c r="R197" t="s">
        <v>74</v>
      </c>
      <c r="S197" t="s">
        <v>74</v>
      </c>
      <c r="T197" t="s">
        <v>74</v>
      </c>
      <c r="U197" t="s">
        <v>3194</v>
      </c>
      <c r="V197" t="s">
        <v>3195</v>
      </c>
      <c r="W197" t="s">
        <v>3196</v>
      </c>
      <c r="X197" t="s">
        <v>3197</v>
      </c>
      <c r="Y197" t="s">
        <v>3198</v>
      </c>
      <c r="Z197" t="s">
        <v>3199</v>
      </c>
      <c r="AA197" t="s">
        <v>3200</v>
      </c>
      <c r="AB197" t="s">
        <v>3201</v>
      </c>
      <c r="AC197" t="s">
        <v>74</v>
      </c>
      <c r="AD197" t="s">
        <v>74</v>
      </c>
      <c r="AE197" t="s">
        <v>74</v>
      </c>
      <c r="AF197" t="s">
        <v>74</v>
      </c>
      <c r="AG197">
        <v>45</v>
      </c>
      <c r="AH197">
        <v>61</v>
      </c>
      <c r="AI197">
        <v>69</v>
      </c>
      <c r="AJ197">
        <v>0</v>
      </c>
      <c r="AK197">
        <v>50</v>
      </c>
      <c r="AL197" t="s">
        <v>3202</v>
      </c>
      <c r="AM197" t="s">
        <v>137</v>
      </c>
      <c r="AN197" t="s">
        <v>3203</v>
      </c>
      <c r="AO197" t="s">
        <v>3204</v>
      </c>
      <c r="AP197" t="s">
        <v>74</v>
      </c>
      <c r="AQ197" t="s">
        <v>74</v>
      </c>
      <c r="AR197" t="s">
        <v>3205</v>
      </c>
      <c r="AS197" t="s">
        <v>3206</v>
      </c>
      <c r="AT197" t="s">
        <v>2635</v>
      </c>
      <c r="AU197">
        <v>2006</v>
      </c>
      <c r="AV197">
        <v>9</v>
      </c>
      <c r="AW197">
        <v>5</v>
      </c>
      <c r="AX197" t="s">
        <v>74</v>
      </c>
      <c r="AY197" t="s">
        <v>74</v>
      </c>
      <c r="AZ197" t="s">
        <v>74</v>
      </c>
      <c r="BA197" t="s">
        <v>74</v>
      </c>
      <c r="BB197">
        <v>467</v>
      </c>
      <c r="BC197">
        <v>482</v>
      </c>
      <c r="BD197" t="s">
        <v>74</v>
      </c>
      <c r="BE197" t="s">
        <v>3207</v>
      </c>
      <c r="BF197" t="str">
        <f>HYPERLINK("http://dx.doi.org/10.1080/13669870600717632","http://dx.doi.org/10.1080/13669870600717632")</f>
        <v>http://dx.doi.org/10.1080/13669870600717632</v>
      </c>
      <c r="BG197" t="s">
        <v>74</v>
      </c>
      <c r="BH197" t="s">
        <v>74</v>
      </c>
      <c r="BI197">
        <v>16</v>
      </c>
      <c r="BJ197" t="s">
        <v>3208</v>
      </c>
      <c r="BK197" t="s">
        <v>3209</v>
      </c>
      <c r="BL197" t="s">
        <v>3210</v>
      </c>
      <c r="BM197" t="s">
        <v>3211</v>
      </c>
      <c r="BN197" t="s">
        <v>74</v>
      </c>
      <c r="BO197" t="s">
        <v>147</v>
      </c>
      <c r="BP197" t="s">
        <v>74</v>
      </c>
      <c r="BQ197" t="s">
        <v>74</v>
      </c>
      <c r="BR197" t="s">
        <v>100</v>
      </c>
      <c r="BS197" t="s">
        <v>3212</v>
      </c>
      <c r="BT197" t="str">
        <f>HYPERLINK("https%3A%2F%2Fwww.webofscience.com%2Fwos%2Fwoscc%2Ffull-record%2FWOS:000239816100003","View Full Record in Web of Science")</f>
        <v>View Full Record in Web of Science</v>
      </c>
    </row>
    <row r="198" spans="1:72" x14ac:dyDescent="0.15">
      <c r="A198" t="s">
        <v>72</v>
      </c>
      <c r="B198" t="s">
        <v>3213</v>
      </c>
      <c r="C198" t="s">
        <v>74</v>
      </c>
      <c r="D198" t="s">
        <v>74</v>
      </c>
      <c r="E198" t="s">
        <v>74</v>
      </c>
      <c r="F198" t="s">
        <v>3214</v>
      </c>
      <c r="G198" t="s">
        <v>74</v>
      </c>
      <c r="H198" t="s">
        <v>74</v>
      </c>
      <c r="I198" t="s">
        <v>3215</v>
      </c>
      <c r="J198" t="s">
        <v>3216</v>
      </c>
      <c r="K198" t="s">
        <v>74</v>
      </c>
      <c r="L198" t="s">
        <v>74</v>
      </c>
      <c r="M198" t="s">
        <v>78</v>
      </c>
      <c r="N198" t="s">
        <v>79</v>
      </c>
      <c r="O198" t="s">
        <v>74</v>
      </c>
      <c r="P198" t="s">
        <v>74</v>
      </c>
      <c r="Q198" t="s">
        <v>74</v>
      </c>
      <c r="R198" t="s">
        <v>74</v>
      </c>
      <c r="S198" t="s">
        <v>74</v>
      </c>
      <c r="T198" t="s">
        <v>74</v>
      </c>
      <c r="U198" t="s">
        <v>3217</v>
      </c>
      <c r="V198" t="s">
        <v>3218</v>
      </c>
      <c r="W198" t="s">
        <v>3219</v>
      </c>
      <c r="X198" t="s">
        <v>3220</v>
      </c>
      <c r="Y198" t="s">
        <v>3221</v>
      </c>
      <c r="Z198" t="s">
        <v>3222</v>
      </c>
      <c r="AA198" t="s">
        <v>3223</v>
      </c>
      <c r="AB198" t="s">
        <v>3224</v>
      </c>
      <c r="AC198" t="s">
        <v>74</v>
      </c>
      <c r="AD198" t="s">
        <v>74</v>
      </c>
      <c r="AE198" t="s">
        <v>74</v>
      </c>
      <c r="AF198" t="s">
        <v>74</v>
      </c>
      <c r="AG198">
        <v>41</v>
      </c>
      <c r="AH198">
        <v>77</v>
      </c>
      <c r="AI198">
        <v>81</v>
      </c>
      <c r="AJ198">
        <v>0</v>
      </c>
      <c r="AK198">
        <v>15</v>
      </c>
      <c r="AL198" t="s">
        <v>861</v>
      </c>
      <c r="AM198" t="s">
        <v>862</v>
      </c>
      <c r="AN198" t="s">
        <v>863</v>
      </c>
      <c r="AO198" t="s">
        <v>3225</v>
      </c>
      <c r="AP198" t="s">
        <v>3226</v>
      </c>
      <c r="AQ198" t="s">
        <v>74</v>
      </c>
      <c r="AR198" t="s">
        <v>3227</v>
      </c>
      <c r="AS198" t="s">
        <v>3228</v>
      </c>
      <c r="AT198" t="s">
        <v>2635</v>
      </c>
      <c r="AU198">
        <v>2006</v>
      </c>
      <c r="AV198">
        <v>63</v>
      </c>
      <c r="AW198">
        <v>7</v>
      </c>
      <c r="AX198" t="s">
        <v>74</v>
      </c>
      <c r="AY198" t="s">
        <v>74</v>
      </c>
      <c r="AZ198" t="s">
        <v>74</v>
      </c>
      <c r="BA198" t="s">
        <v>74</v>
      </c>
      <c r="BB198">
        <v>1695</v>
      </c>
      <c r="BC198">
        <v>1708</v>
      </c>
      <c r="BD198" t="s">
        <v>74</v>
      </c>
      <c r="BE198" t="s">
        <v>3229</v>
      </c>
      <c r="BF198" t="str">
        <f>HYPERLINK("http://dx.doi.org/10.1175/JAS3716.1","http://dx.doi.org/10.1175/JAS3716.1")</f>
        <v>http://dx.doi.org/10.1175/JAS3716.1</v>
      </c>
      <c r="BG198" t="s">
        <v>74</v>
      </c>
      <c r="BH198" t="s">
        <v>74</v>
      </c>
      <c r="BI198">
        <v>14</v>
      </c>
      <c r="BJ198" t="s">
        <v>869</v>
      </c>
      <c r="BK198" t="s">
        <v>97</v>
      </c>
      <c r="BL198" t="s">
        <v>869</v>
      </c>
      <c r="BM198" t="s">
        <v>3230</v>
      </c>
      <c r="BN198" t="s">
        <v>74</v>
      </c>
      <c r="BO198" t="s">
        <v>901</v>
      </c>
      <c r="BP198" t="s">
        <v>74</v>
      </c>
      <c r="BQ198" t="s">
        <v>74</v>
      </c>
      <c r="BR198" t="s">
        <v>100</v>
      </c>
      <c r="BS198" t="s">
        <v>3231</v>
      </c>
      <c r="BT198" t="str">
        <f>HYPERLINK("https%3A%2F%2Fwww.webofscience.com%2Fwos%2Fwoscc%2Ffull-record%2FWOS:000239308000002","View Full Record in Web of Science")</f>
        <v>View Full Record in Web of Science</v>
      </c>
    </row>
    <row r="199" spans="1:72" x14ac:dyDescent="0.15">
      <c r="A199" t="s">
        <v>72</v>
      </c>
      <c r="B199" t="s">
        <v>3232</v>
      </c>
      <c r="C199" t="s">
        <v>74</v>
      </c>
      <c r="D199" t="s">
        <v>74</v>
      </c>
      <c r="E199" t="s">
        <v>74</v>
      </c>
      <c r="F199" t="s">
        <v>3233</v>
      </c>
      <c r="G199" t="s">
        <v>74</v>
      </c>
      <c r="H199" t="s">
        <v>74</v>
      </c>
      <c r="I199" t="s">
        <v>3234</v>
      </c>
      <c r="J199" t="s">
        <v>3216</v>
      </c>
      <c r="K199" t="s">
        <v>74</v>
      </c>
      <c r="L199" t="s">
        <v>74</v>
      </c>
      <c r="M199" t="s">
        <v>78</v>
      </c>
      <c r="N199" t="s">
        <v>79</v>
      </c>
      <c r="O199" t="s">
        <v>74</v>
      </c>
      <c r="P199" t="s">
        <v>74</v>
      </c>
      <c r="Q199" t="s">
        <v>74</v>
      </c>
      <c r="R199" t="s">
        <v>74</v>
      </c>
      <c r="S199" t="s">
        <v>74</v>
      </c>
      <c r="T199" t="s">
        <v>74</v>
      </c>
      <c r="U199" t="s">
        <v>3235</v>
      </c>
      <c r="V199" t="s">
        <v>3236</v>
      </c>
      <c r="W199" t="s">
        <v>3237</v>
      </c>
      <c r="X199" t="s">
        <v>3238</v>
      </c>
      <c r="Y199" t="s">
        <v>3239</v>
      </c>
      <c r="Z199" t="s">
        <v>3240</v>
      </c>
      <c r="AA199" t="s">
        <v>3223</v>
      </c>
      <c r="AB199" t="s">
        <v>3224</v>
      </c>
      <c r="AC199" t="s">
        <v>74</v>
      </c>
      <c r="AD199" t="s">
        <v>74</v>
      </c>
      <c r="AE199" t="s">
        <v>74</v>
      </c>
      <c r="AF199" t="s">
        <v>74</v>
      </c>
      <c r="AG199">
        <v>62</v>
      </c>
      <c r="AH199">
        <v>29</v>
      </c>
      <c r="AI199">
        <v>29</v>
      </c>
      <c r="AJ199">
        <v>0</v>
      </c>
      <c r="AK199">
        <v>9</v>
      </c>
      <c r="AL199" t="s">
        <v>861</v>
      </c>
      <c r="AM199" t="s">
        <v>862</v>
      </c>
      <c r="AN199" t="s">
        <v>863</v>
      </c>
      <c r="AO199" t="s">
        <v>3225</v>
      </c>
      <c r="AP199" t="s">
        <v>3226</v>
      </c>
      <c r="AQ199" t="s">
        <v>74</v>
      </c>
      <c r="AR199" t="s">
        <v>3227</v>
      </c>
      <c r="AS199" t="s">
        <v>3228</v>
      </c>
      <c r="AT199" t="s">
        <v>2635</v>
      </c>
      <c r="AU199">
        <v>2006</v>
      </c>
      <c r="AV199">
        <v>63</v>
      </c>
      <c r="AW199">
        <v>7</v>
      </c>
      <c r="AX199" t="s">
        <v>74</v>
      </c>
      <c r="AY199" t="s">
        <v>74</v>
      </c>
      <c r="AZ199" t="s">
        <v>74</v>
      </c>
      <c r="BA199" t="s">
        <v>74</v>
      </c>
      <c r="BB199">
        <v>1709</v>
      </c>
      <c r="BC199">
        <v>1725</v>
      </c>
      <c r="BD199" t="s">
        <v>74</v>
      </c>
      <c r="BE199" t="s">
        <v>3241</v>
      </c>
      <c r="BF199" t="str">
        <f>HYPERLINK("http://dx.doi.org/10.1175/JAS3717.1","http://dx.doi.org/10.1175/JAS3717.1")</f>
        <v>http://dx.doi.org/10.1175/JAS3717.1</v>
      </c>
      <c r="BG199" t="s">
        <v>74</v>
      </c>
      <c r="BH199" t="s">
        <v>74</v>
      </c>
      <c r="BI199">
        <v>17</v>
      </c>
      <c r="BJ199" t="s">
        <v>869</v>
      </c>
      <c r="BK199" t="s">
        <v>97</v>
      </c>
      <c r="BL199" t="s">
        <v>869</v>
      </c>
      <c r="BM199" t="s">
        <v>3230</v>
      </c>
      <c r="BN199" t="s">
        <v>74</v>
      </c>
      <c r="BO199" t="s">
        <v>460</v>
      </c>
      <c r="BP199" t="s">
        <v>74</v>
      </c>
      <c r="BQ199" t="s">
        <v>74</v>
      </c>
      <c r="BR199" t="s">
        <v>100</v>
      </c>
      <c r="BS199" t="s">
        <v>3242</v>
      </c>
      <c r="BT199" t="str">
        <f>HYPERLINK("https%3A%2F%2Fwww.webofscience.com%2Fwos%2Fwoscc%2Ffull-record%2FWOS:000239308000003","View Full Record in Web of Science")</f>
        <v>View Full Record in Web of Science</v>
      </c>
    </row>
    <row r="200" spans="1:72" x14ac:dyDescent="0.15">
      <c r="A200" t="s">
        <v>72</v>
      </c>
      <c r="B200" t="s">
        <v>3243</v>
      </c>
      <c r="C200" t="s">
        <v>74</v>
      </c>
      <c r="D200" t="s">
        <v>74</v>
      </c>
      <c r="E200" t="s">
        <v>74</v>
      </c>
      <c r="F200" t="s">
        <v>3244</v>
      </c>
      <c r="G200" t="s">
        <v>74</v>
      </c>
      <c r="H200" t="s">
        <v>74</v>
      </c>
      <c r="I200" t="s">
        <v>3245</v>
      </c>
      <c r="J200" t="s">
        <v>3246</v>
      </c>
      <c r="K200" t="s">
        <v>74</v>
      </c>
      <c r="L200" t="s">
        <v>74</v>
      </c>
      <c r="M200" t="s">
        <v>78</v>
      </c>
      <c r="N200" t="s">
        <v>79</v>
      </c>
      <c r="O200" t="s">
        <v>74</v>
      </c>
      <c r="P200" t="s">
        <v>74</v>
      </c>
      <c r="Q200" t="s">
        <v>74</v>
      </c>
      <c r="R200" t="s">
        <v>74</v>
      </c>
      <c r="S200" t="s">
        <v>74</v>
      </c>
      <c r="T200" t="s">
        <v>3247</v>
      </c>
      <c r="U200" t="s">
        <v>3248</v>
      </c>
      <c r="V200" t="s">
        <v>3249</v>
      </c>
      <c r="W200" t="s">
        <v>3250</v>
      </c>
      <c r="X200" t="s">
        <v>3251</v>
      </c>
      <c r="Y200" t="s">
        <v>3252</v>
      </c>
      <c r="Z200" t="s">
        <v>3253</v>
      </c>
      <c r="AA200" t="s">
        <v>3254</v>
      </c>
      <c r="AB200" t="s">
        <v>3255</v>
      </c>
      <c r="AC200" t="s">
        <v>74</v>
      </c>
      <c r="AD200" t="s">
        <v>74</v>
      </c>
      <c r="AE200" t="s">
        <v>74</v>
      </c>
      <c r="AF200" t="s">
        <v>74</v>
      </c>
      <c r="AG200">
        <v>36</v>
      </c>
      <c r="AH200">
        <v>8</v>
      </c>
      <c r="AI200">
        <v>8</v>
      </c>
      <c r="AJ200">
        <v>0</v>
      </c>
      <c r="AK200">
        <v>7</v>
      </c>
      <c r="AL200" t="s">
        <v>3202</v>
      </c>
      <c r="AM200" t="s">
        <v>137</v>
      </c>
      <c r="AN200" t="s">
        <v>3256</v>
      </c>
      <c r="AO200" t="s">
        <v>3257</v>
      </c>
      <c r="AP200" t="s">
        <v>3258</v>
      </c>
      <c r="AQ200" t="s">
        <v>74</v>
      </c>
      <c r="AR200" t="s">
        <v>3259</v>
      </c>
      <c r="AS200" t="s">
        <v>3260</v>
      </c>
      <c r="AT200" t="s">
        <v>2635</v>
      </c>
      <c r="AU200">
        <v>2006</v>
      </c>
      <c r="AV200">
        <v>31</v>
      </c>
      <c r="AW200">
        <v>3</v>
      </c>
      <c r="AX200" t="s">
        <v>74</v>
      </c>
      <c r="AY200" t="s">
        <v>74</v>
      </c>
      <c r="AZ200" t="s">
        <v>74</v>
      </c>
      <c r="BA200" t="s">
        <v>74</v>
      </c>
      <c r="BB200">
        <v>193</v>
      </c>
      <c r="BC200">
        <v>214</v>
      </c>
      <c r="BD200" t="s">
        <v>74</v>
      </c>
      <c r="BE200" t="s">
        <v>3261</v>
      </c>
      <c r="BF200" t="str">
        <f>HYPERLINK("http://dx.doi.org/10.1080/01426390600783111","http://dx.doi.org/10.1080/01426390600783111")</f>
        <v>http://dx.doi.org/10.1080/01426390600783111</v>
      </c>
      <c r="BG200" t="s">
        <v>74</v>
      </c>
      <c r="BH200" t="s">
        <v>74</v>
      </c>
      <c r="BI200">
        <v>22</v>
      </c>
      <c r="BJ200" t="s">
        <v>3262</v>
      </c>
      <c r="BK200" t="s">
        <v>3055</v>
      </c>
      <c r="BL200" t="s">
        <v>3263</v>
      </c>
      <c r="BM200" t="s">
        <v>3264</v>
      </c>
      <c r="BN200" t="s">
        <v>74</v>
      </c>
      <c r="BO200" t="s">
        <v>74</v>
      </c>
      <c r="BP200" t="s">
        <v>74</v>
      </c>
      <c r="BQ200" t="s">
        <v>74</v>
      </c>
      <c r="BR200" t="s">
        <v>100</v>
      </c>
      <c r="BS200" t="s">
        <v>3265</v>
      </c>
      <c r="BT200" t="str">
        <f>HYPERLINK("https%3A%2F%2Fwww.webofscience.com%2Fwos%2Fwoscc%2Ffull-record%2FWOS:000239924700001","View Full Record in Web of Science")</f>
        <v>View Full Record in Web of Science</v>
      </c>
    </row>
    <row r="201" spans="1:72" x14ac:dyDescent="0.15">
      <c r="A201" t="s">
        <v>72</v>
      </c>
      <c r="B201" t="s">
        <v>3266</v>
      </c>
      <c r="C201" t="s">
        <v>74</v>
      </c>
      <c r="D201" t="s">
        <v>74</v>
      </c>
      <c r="E201" t="s">
        <v>74</v>
      </c>
      <c r="F201" t="s">
        <v>3267</v>
      </c>
      <c r="G201" t="s">
        <v>74</v>
      </c>
      <c r="H201" t="s">
        <v>74</v>
      </c>
      <c r="I201" t="s">
        <v>3268</v>
      </c>
      <c r="J201" t="s">
        <v>3269</v>
      </c>
      <c r="K201" t="s">
        <v>74</v>
      </c>
      <c r="L201" t="s">
        <v>74</v>
      </c>
      <c r="M201" t="s">
        <v>78</v>
      </c>
      <c r="N201" t="s">
        <v>79</v>
      </c>
      <c r="O201" t="s">
        <v>74</v>
      </c>
      <c r="P201" t="s">
        <v>74</v>
      </c>
      <c r="Q201" t="s">
        <v>74</v>
      </c>
      <c r="R201" t="s">
        <v>74</v>
      </c>
      <c r="S201" t="s">
        <v>74</v>
      </c>
      <c r="T201" t="s">
        <v>74</v>
      </c>
      <c r="U201" t="s">
        <v>3270</v>
      </c>
      <c r="V201" t="s">
        <v>3271</v>
      </c>
      <c r="W201" t="s">
        <v>3272</v>
      </c>
      <c r="X201" t="s">
        <v>3273</v>
      </c>
      <c r="Y201" t="s">
        <v>3274</v>
      </c>
      <c r="Z201" t="s">
        <v>3275</v>
      </c>
      <c r="AA201" t="s">
        <v>3276</v>
      </c>
      <c r="AB201" t="s">
        <v>3277</v>
      </c>
      <c r="AC201" t="s">
        <v>74</v>
      </c>
      <c r="AD201" t="s">
        <v>74</v>
      </c>
      <c r="AE201" t="s">
        <v>74</v>
      </c>
      <c r="AF201" t="s">
        <v>74</v>
      </c>
      <c r="AG201">
        <v>51</v>
      </c>
      <c r="AH201">
        <v>45</v>
      </c>
      <c r="AI201">
        <v>47</v>
      </c>
      <c r="AJ201">
        <v>2</v>
      </c>
      <c r="AK201">
        <v>19</v>
      </c>
      <c r="AL201" t="s">
        <v>115</v>
      </c>
      <c r="AM201" t="s">
        <v>116</v>
      </c>
      <c r="AN201" t="s">
        <v>117</v>
      </c>
      <c r="AO201" t="s">
        <v>3278</v>
      </c>
      <c r="AP201" t="s">
        <v>3279</v>
      </c>
      <c r="AQ201" t="s">
        <v>74</v>
      </c>
      <c r="AR201" t="s">
        <v>3280</v>
      </c>
      <c r="AS201" t="s">
        <v>3281</v>
      </c>
      <c r="AT201" t="s">
        <v>2635</v>
      </c>
      <c r="AU201">
        <v>2006</v>
      </c>
      <c r="AV201">
        <v>51</v>
      </c>
      <c r="AW201">
        <v>4</v>
      </c>
      <c r="AX201" t="s">
        <v>74</v>
      </c>
      <c r="AY201" t="s">
        <v>74</v>
      </c>
      <c r="AZ201" t="s">
        <v>74</v>
      </c>
      <c r="BA201" t="s">
        <v>74</v>
      </c>
      <c r="BB201">
        <v>1791</v>
      </c>
      <c r="BC201">
        <v>1800</v>
      </c>
      <c r="BD201" t="s">
        <v>74</v>
      </c>
      <c r="BE201" t="s">
        <v>3282</v>
      </c>
      <c r="BF201" t="str">
        <f>HYPERLINK("http://dx.doi.org/10.4319/lo.2006.51.4.1791","http://dx.doi.org/10.4319/lo.2006.51.4.1791")</f>
        <v>http://dx.doi.org/10.4319/lo.2006.51.4.1791</v>
      </c>
      <c r="BG201" t="s">
        <v>74</v>
      </c>
      <c r="BH201" t="s">
        <v>74</v>
      </c>
      <c r="BI201">
        <v>10</v>
      </c>
      <c r="BJ201" t="s">
        <v>3283</v>
      </c>
      <c r="BK201" t="s">
        <v>97</v>
      </c>
      <c r="BL201" t="s">
        <v>3284</v>
      </c>
      <c r="BM201" t="s">
        <v>3285</v>
      </c>
      <c r="BN201" t="s">
        <v>74</v>
      </c>
      <c r="BO201" t="s">
        <v>164</v>
      </c>
      <c r="BP201" t="s">
        <v>74</v>
      </c>
      <c r="BQ201" t="s">
        <v>74</v>
      </c>
      <c r="BR201" t="s">
        <v>100</v>
      </c>
      <c r="BS201" t="s">
        <v>3286</v>
      </c>
      <c r="BT201" t="str">
        <f>HYPERLINK("https%3A%2F%2Fwww.webofscience.com%2Fwos%2Fwoscc%2Ffull-record%2FWOS:000239262200022","View Full Record in Web of Science")</f>
        <v>View Full Record in Web of Science</v>
      </c>
    </row>
    <row r="202" spans="1:72" x14ac:dyDescent="0.15">
      <c r="A202" t="s">
        <v>72</v>
      </c>
      <c r="B202" t="s">
        <v>3287</v>
      </c>
      <c r="C202" t="s">
        <v>74</v>
      </c>
      <c r="D202" t="s">
        <v>74</v>
      </c>
      <c r="E202" t="s">
        <v>74</v>
      </c>
      <c r="F202" t="s">
        <v>3288</v>
      </c>
      <c r="G202" t="s">
        <v>74</v>
      </c>
      <c r="H202" t="s">
        <v>74</v>
      </c>
      <c r="I202" t="s">
        <v>3289</v>
      </c>
      <c r="J202" t="s">
        <v>3290</v>
      </c>
      <c r="K202" t="s">
        <v>74</v>
      </c>
      <c r="L202" t="s">
        <v>74</v>
      </c>
      <c r="M202" t="s">
        <v>78</v>
      </c>
      <c r="N202" t="s">
        <v>79</v>
      </c>
      <c r="O202" t="s">
        <v>74</v>
      </c>
      <c r="P202" t="s">
        <v>74</v>
      </c>
      <c r="Q202" t="s">
        <v>74</v>
      </c>
      <c r="R202" t="s">
        <v>74</v>
      </c>
      <c r="S202" t="s">
        <v>74</v>
      </c>
      <c r="T202" t="s">
        <v>74</v>
      </c>
      <c r="U202" t="s">
        <v>3291</v>
      </c>
      <c r="V202" t="s">
        <v>3292</v>
      </c>
      <c r="W202" t="s">
        <v>3293</v>
      </c>
      <c r="X202" t="s">
        <v>3294</v>
      </c>
      <c r="Y202" t="s">
        <v>3295</v>
      </c>
      <c r="Z202" t="s">
        <v>74</v>
      </c>
      <c r="AA202" t="s">
        <v>74</v>
      </c>
      <c r="AB202" t="s">
        <v>3296</v>
      </c>
      <c r="AC202" t="s">
        <v>74</v>
      </c>
      <c r="AD202" t="s">
        <v>74</v>
      </c>
      <c r="AE202" t="s">
        <v>74</v>
      </c>
      <c r="AF202" t="s">
        <v>74</v>
      </c>
      <c r="AG202">
        <v>33</v>
      </c>
      <c r="AH202">
        <v>39</v>
      </c>
      <c r="AI202">
        <v>43</v>
      </c>
      <c r="AJ202">
        <v>1</v>
      </c>
      <c r="AK202">
        <v>11</v>
      </c>
      <c r="AL202" t="s">
        <v>1009</v>
      </c>
      <c r="AM202" t="s">
        <v>1010</v>
      </c>
      <c r="AN202" t="s">
        <v>1011</v>
      </c>
      <c r="AO202" t="s">
        <v>3297</v>
      </c>
      <c r="AP202" t="s">
        <v>3298</v>
      </c>
      <c r="AQ202" t="s">
        <v>74</v>
      </c>
      <c r="AR202" t="s">
        <v>3299</v>
      </c>
      <c r="AS202" t="s">
        <v>3300</v>
      </c>
      <c r="AT202" t="s">
        <v>2635</v>
      </c>
      <c r="AU202">
        <v>2006</v>
      </c>
      <c r="AV202">
        <v>149</v>
      </c>
      <c r="AW202">
        <v>4</v>
      </c>
      <c r="AX202" t="s">
        <v>74</v>
      </c>
      <c r="AY202" t="s">
        <v>74</v>
      </c>
      <c r="AZ202" t="s">
        <v>74</v>
      </c>
      <c r="BA202" t="s">
        <v>74</v>
      </c>
      <c r="BB202">
        <v>865</v>
      </c>
      <c r="BC202">
        <v>873</v>
      </c>
      <c r="BD202" t="s">
        <v>74</v>
      </c>
      <c r="BE202" t="s">
        <v>3301</v>
      </c>
      <c r="BF202" t="str">
        <f>HYPERLINK("http://dx.doi.org/10.1007/s00227-005-0240-x","http://dx.doi.org/10.1007/s00227-005-0240-x")</f>
        <v>http://dx.doi.org/10.1007/s00227-005-0240-x</v>
      </c>
      <c r="BG202" t="s">
        <v>74</v>
      </c>
      <c r="BH202" t="s">
        <v>74</v>
      </c>
      <c r="BI202">
        <v>9</v>
      </c>
      <c r="BJ202" t="s">
        <v>1146</v>
      </c>
      <c r="BK202" t="s">
        <v>97</v>
      </c>
      <c r="BL202" t="s">
        <v>1146</v>
      </c>
      <c r="BM202" t="s">
        <v>3302</v>
      </c>
      <c r="BN202" t="s">
        <v>74</v>
      </c>
      <c r="BO202" t="s">
        <v>3303</v>
      </c>
      <c r="BP202" t="s">
        <v>74</v>
      </c>
      <c r="BQ202" t="s">
        <v>74</v>
      </c>
      <c r="BR202" t="s">
        <v>100</v>
      </c>
      <c r="BS202" t="s">
        <v>3304</v>
      </c>
      <c r="BT202" t="str">
        <f>HYPERLINK("https%3A%2F%2Fwww.webofscience.com%2Fwos%2Fwoscc%2Ffull-record%2FWOS:000238683900015","View Full Record in Web of Science")</f>
        <v>View Full Record in Web of Science</v>
      </c>
    </row>
    <row r="203" spans="1:72" x14ac:dyDescent="0.15">
      <c r="A203" t="s">
        <v>72</v>
      </c>
      <c r="B203" t="s">
        <v>3305</v>
      </c>
      <c r="C203" t="s">
        <v>74</v>
      </c>
      <c r="D203" t="s">
        <v>74</v>
      </c>
      <c r="E203" t="s">
        <v>74</v>
      </c>
      <c r="F203" t="s">
        <v>3306</v>
      </c>
      <c r="G203" t="s">
        <v>74</v>
      </c>
      <c r="H203" t="s">
        <v>74</v>
      </c>
      <c r="I203" t="s">
        <v>3307</v>
      </c>
      <c r="J203" t="s">
        <v>3290</v>
      </c>
      <c r="K203" t="s">
        <v>74</v>
      </c>
      <c r="L203" t="s">
        <v>74</v>
      </c>
      <c r="M203" t="s">
        <v>78</v>
      </c>
      <c r="N203" t="s">
        <v>79</v>
      </c>
      <c r="O203" t="s">
        <v>74</v>
      </c>
      <c r="P203" t="s">
        <v>74</v>
      </c>
      <c r="Q203" t="s">
        <v>74</v>
      </c>
      <c r="R203" t="s">
        <v>74</v>
      </c>
      <c r="S203" t="s">
        <v>74</v>
      </c>
      <c r="T203" t="s">
        <v>74</v>
      </c>
      <c r="U203" t="s">
        <v>3308</v>
      </c>
      <c r="V203" t="s">
        <v>3309</v>
      </c>
      <c r="W203" t="s">
        <v>3310</v>
      </c>
      <c r="X203" t="s">
        <v>3311</v>
      </c>
      <c r="Y203" t="s">
        <v>3312</v>
      </c>
      <c r="Z203" t="s">
        <v>3313</v>
      </c>
      <c r="AA203" t="s">
        <v>74</v>
      </c>
      <c r="AB203" t="s">
        <v>3314</v>
      </c>
      <c r="AC203" t="s">
        <v>3315</v>
      </c>
      <c r="AD203" t="s">
        <v>1328</v>
      </c>
      <c r="AE203" t="s">
        <v>74</v>
      </c>
      <c r="AF203" t="s">
        <v>74</v>
      </c>
      <c r="AG203">
        <v>57</v>
      </c>
      <c r="AH203">
        <v>48</v>
      </c>
      <c r="AI203">
        <v>54</v>
      </c>
      <c r="AJ203">
        <v>2</v>
      </c>
      <c r="AK203">
        <v>15</v>
      </c>
      <c r="AL203" t="s">
        <v>1009</v>
      </c>
      <c r="AM203" t="s">
        <v>1010</v>
      </c>
      <c r="AN203" t="s">
        <v>1011</v>
      </c>
      <c r="AO203" t="s">
        <v>3297</v>
      </c>
      <c r="AP203" t="s">
        <v>3298</v>
      </c>
      <c r="AQ203" t="s">
        <v>74</v>
      </c>
      <c r="AR203" t="s">
        <v>3299</v>
      </c>
      <c r="AS203" t="s">
        <v>3300</v>
      </c>
      <c r="AT203" t="s">
        <v>2635</v>
      </c>
      <c r="AU203">
        <v>2006</v>
      </c>
      <c r="AV203">
        <v>149</v>
      </c>
      <c r="AW203">
        <v>4</v>
      </c>
      <c r="AX203" t="s">
        <v>74</v>
      </c>
      <c r="AY203" t="s">
        <v>74</v>
      </c>
      <c r="AZ203" t="s">
        <v>74</v>
      </c>
      <c r="BA203" t="s">
        <v>74</v>
      </c>
      <c r="BB203">
        <v>915</v>
      </c>
      <c r="BC203">
        <v>924</v>
      </c>
      <c r="BD203" t="s">
        <v>74</v>
      </c>
      <c r="BE203" t="s">
        <v>3316</v>
      </c>
      <c r="BF203" t="str">
        <f>HYPERLINK("http://dx.doi.org/10.1007/s00227-006-0256-x","http://dx.doi.org/10.1007/s00227-006-0256-x")</f>
        <v>http://dx.doi.org/10.1007/s00227-006-0256-x</v>
      </c>
      <c r="BG203" t="s">
        <v>74</v>
      </c>
      <c r="BH203" t="s">
        <v>74</v>
      </c>
      <c r="BI203">
        <v>10</v>
      </c>
      <c r="BJ203" t="s">
        <v>1146</v>
      </c>
      <c r="BK203" t="s">
        <v>97</v>
      </c>
      <c r="BL203" t="s">
        <v>1146</v>
      </c>
      <c r="BM203" t="s">
        <v>3302</v>
      </c>
      <c r="BN203" t="s">
        <v>74</v>
      </c>
      <c r="BO203" t="s">
        <v>74</v>
      </c>
      <c r="BP203" t="s">
        <v>74</v>
      </c>
      <c r="BQ203" t="s">
        <v>74</v>
      </c>
      <c r="BR203" t="s">
        <v>100</v>
      </c>
      <c r="BS203" t="s">
        <v>3317</v>
      </c>
      <c r="BT203" t="str">
        <f>HYPERLINK("https%3A%2F%2Fwww.webofscience.com%2Fwos%2Fwoscc%2Ffull-record%2FWOS:000238683900019","View Full Record in Web of Science")</f>
        <v>View Full Record in Web of Science</v>
      </c>
    </row>
    <row r="204" spans="1:72" x14ac:dyDescent="0.15">
      <c r="A204" t="s">
        <v>72</v>
      </c>
      <c r="B204" t="s">
        <v>3318</v>
      </c>
      <c r="C204" t="s">
        <v>74</v>
      </c>
      <c r="D204" t="s">
        <v>74</v>
      </c>
      <c r="E204" t="s">
        <v>74</v>
      </c>
      <c r="F204" t="s">
        <v>3319</v>
      </c>
      <c r="G204" t="s">
        <v>74</v>
      </c>
      <c r="H204" t="s">
        <v>74</v>
      </c>
      <c r="I204" t="s">
        <v>3320</v>
      </c>
      <c r="J204" t="s">
        <v>3321</v>
      </c>
      <c r="K204" t="s">
        <v>74</v>
      </c>
      <c r="L204" t="s">
        <v>74</v>
      </c>
      <c r="M204" t="s">
        <v>78</v>
      </c>
      <c r="N204" t="s">
        <v>511</v>
      </c>
      <c r="O204" t="s">
        <v>74</v>
      </c>
      <c r="P204" t="s">
        <v>74</v>
      </c>
      <c r="Q204" t="s">
        <v>74</v>
      </c>
      <c r="R204" t="s">
        <v>74</v>
      </c>
      <c r="S204" t="s">
        <v>74</v>
      </c>
      <c r="T204" t="s">
        <v>3322</v>
      </c>
      <c r="U204" t="s">
        <v>3323</v>
      </c>
      <c r="V204" t="s">
        <v>3324</v>
      </c>
      <c r="W204" t="s">
        <v>3325</v>
      </c>
      <c r="X204" t="s">
        <v>3326</v>
      </c>
      <c r="Y204" t="s">
        <v>3327</v>
      </c>
      <c r="Z204" t="s">
        <v>3328</v>
      </c>
      <c r="AA204" t="s">
        <v>3329</v>
      </c>
      <c r="AB204" t="s">
        <v>3330</v>
      </c>
      <c r="AC204" t="s">
        <v>74</v>
      </c>
      <c r="AD204" t="s">
        <v>74</v>
      </c>
      <c r="AE204" t="s">
        <v>74</v>
      </c>
      <c r="AF204" t="s">
        <v>74</v>
      </c>
      <c r="AG204">
        <v>476</v>
      </c>
      <c r="AH204">
        <v>48</v>
      </c>
      <c r="AI204">
        <v>56</v>
      </c>
      <c r="AJ204">
        <v>0</v>
      </c>
      <c r="AK204">
        <v>12</v>
      </c>
      <c r="AL204" t="s">
        <v>3331</v>
      </c>
      <c r="AM204" t="s">
        <v>3332</v>
      </c>
      <c r="AN204" t="s">
        <v>3333</v>
      </c>
      <c r="AO204" t="s">
        <v>3334</v>
      </c>
      <c r="AP204" t="s">
        <v>3335</v>
      </c>
      <c r="AQ204" t="s">
        <v>74</v>
      </c>
      <c r="AR204" t="s">
        <v>3336</v>
      </c>
      <c r="AS204" t="s">
        <v>3337</v>
      </c>
      <c r="AT204" t="s">
        <v>2635</v>
      </c>
      <c r="AU204">
        <v>2006</v>
      </c>
      <c r="AV204">
        <v>2</v>
      </c>
      <c r="AW204">
        <v>3</v>
      </c>
      <c r="AX204" t="s">
        <v>74</v>
      </c>
      <c r="AY204" t="s">
        <v>74</v>
      </c>
      <c r="AZ204" t="s">
        <v>74</v>
      </c>
      <c r="BA204" t="s">
        <v>74</v>
      </c>
      <c r="BB204">
        <v>200</v>
      </c>
      <c r="BC204">
        <v>241</v>
      </c>
      <c r="BD204" t="s">
        <v>74</v>
      </c>
      <c r="BE204" t="s">
        <v>3338</v>
      </c>
      <c r="BF204" t="str">
        <f>HYPERLINK("http://dx.doi.org/10.1080/17451000600781767","http://dx.doi.org/10.1080/17451000600781767")</f>
        <v>http://dx.doi.org/10.1080/17451000600781767</v>
      </c>
      <c r="BG204" t="s">
        <v>74</v>
      </c>
      <c r="BH204" t="s">
        <v>74</v>
      </c>
      <c r="BI204">
        <v>42</v>
      </c>
      <c r="BJ204" t="s">
        <v>2483</v>
      </c>
      <c r="BK204" t="s">
        <v>97</v>
      </c>
      <c r="BL204" t="s">
        <v>1288</v>
      </c>
      <c r="BM204" t="s">
        <v>3339</v>
      </c>
      <c r="BN204" t="s">
        <v>74</v>
      </c>
      <c r="BO204" t="s">
        <v>147</v>
      </c>
      <c r="BP204" t="s">
        <v>74</v>
      </c>
      <c r="BQ204" t="s">
        <v>74</v>
      </c>
      <c r="BR204" t="s">
        <v>100</v>
      </c>
      <c r="BS204" t="s">
        <v>3340</v>
      </c>
      <c r="BT204" t="str">
        <f>HYPERLINK("https%3A%2F%2Fwww.webofscience.com%2Fwos%2Fwoscc%2Ffull-record%2FWOS:000239975400005","View Full Record in Web of Science")</f>
        <v>View Full Record in Web of Science</v>
      </c>
    </row>
    <row r="205" spans="1:72" x14ac:dyDescent="0.15">
      <c r="A205" t="s">
        <v>72</v>
      </c>
      <c r="B205" t="s">
        <v>3341</v>
      </c>
      <c r="C205" t="s">
        <v>74</v>
      </c>
      <c r="D205" t="s">
        <v>74</v>
      </c>
      <c r="E205" t="s">
        <v>74</v>
      </c>
      <c r="F205" t="s">
        <v>3342</v>
      </c>
      <c r="G205" t="s">
        <v>74</v>
      </c>
      <c r="H205" t="s">
        <v>74</v>
      </c>
      <c r="I205" t="s">
        <v>3343</v>
      </c>
      <c r="J205" t="s">
        <v>1340</v>
      </c>
      <c r="K205" t="s">
        <v>74</v>
      </c>
      <c r="L205" t="s">
        <v>74</v>
      </c>
      <c r="M205" t="s">
        <v>78</v>
      </c>
      <c r="N205" t="s">
        <v>79</v>
      </c>
      <c r="O205" t="s">
        <v>74</v>
      </c>
      <c r="P205" t="s">
        <v>74</v>
      </c>
      <c r="Q205" t="s">
        <v>74</v>
      </c>
      <c r="R205" t="s">
        <v>74</v>
      </c>
      <c r="S205" t="s">
        <v>74</v>
      </c>
      <c r="T205" t="s">
        <v>74</v>
      </c>
      <c r="U205" t="s">
        <v>3344</v>
      </c>
      <c r="V205" t="s">
        <v>3345</v>
      </c>
      <c r="W205" t="s">
        <v>3346</v>
      </c>
      <c r="X205" t="s">
        <v>3347</v>
      </c>
      <c r="Y205" t="s">
        <v>3348</v>
      </c>
      <c r="Z205" t="s">
        <v>3349</v>
      </c>
      <c r="AA205" t="s">
        <v>3350</v>
      </c>
      <c r="AB205" t="s">
        <v>3351</v>
      </c>
      <c r="AC205" t="s">
        <v>74</v>
      </c>
      <c r="AD205" t="s">
        <v>74</v>
      </c>
      <c r="AE205" t="s">
        <v>74</v>
      </c>
      <c r="AF205" t="s">
        <v>74</v>
      </c>
      <c r="AG205">
        <v>40</v>
      </c>
      <c r="AH205">
        <v>14</v>
      </c>
      <c r="AI205">
        <v>14</v>
      </c>
      <c r="AJ205">
        <v>0</v>
      </c>
      <c r="AK205">
        <v>3</v>
      </c>
      <c r="AL205" t="s">
        <v>115</v>
      </c>
      <c r="AM205" t="s">
        <v>116</v>
      </c>
      <c r="AN205" t="s">
        <v>117</v>
      </c>
      <c r="AO205" t="s">
        <v>1347</v>
      </c>
      <c r="AP205" t="s">
        <v>1348</v>
      </c>
      <c r="AQ205" t="s">
        <v>74</v>
      </c>
      <c r="AR205" t="s">
        <v>1349</v>
      </c>
      <c r="AS205" t="s">
        <v>1350</v>
      </c>
      <c r="AT205" t="s">
        <v>2635</v>
      </c>
      <c r="AU205">
        <v>2006</v>
      </c>
      <c r="AV205">
        <v>41</v>
      </c>
      <c r="AW205">
        <v>7</v>
      </c>
      <c r="AX205" t="s">
        <v>74</v>
      </c>
      <c r="AY205" t="s">
        <v>74</v>
      </c>
      <c r="AZ205" t="s">
        <v>74</v>
      </c>
      <c r="BA205" t="s">
        <v>74</v>
      </c>
      <c r="BB205">
        <v>979</v>
      </c>
      <c r="BC205">
        <v>988</v>
      </c>
      <c r="BD205" t="s">
        <v>74</v>
      </c>
      <c r="BE205" t="s">
        <v>3352</v>
      </c>
      <c r="BF205" t="str">
        <f>HYPERLINK("http://dx.doi.org/10.1111/j.1945-5100.2006.tb00498.x","http://dx.doi.org/10.1111/j.1945-5100.2006.tb00498.x")</f>
        <v>http://dx.doi.org/10.1111/j.1945-5100.2006.tb00498.x</v>
      </c>
      <c r="BG205" t="s">
        <v>74</v>
      </c>
      <c r="BH205" t="s">
        <v>74</v>
      </c>
      <c r="BI205">
        <v>10</v>
      </c>
      <c r="BJ205" t="s">
        <v>608</v>
      </c>
      <c r="BK205" t="s">
        <v>97</v>
      </c>
      <c r="BL205" t="s">
        <v>608</v>
      </c>
      <c r="BM205" t="s">
        <v>3353</v>
      </c>
      <c r="BN205" t="s">
        <v>74</v>
      </c>
      <c r="BO205" t="s">
        <v>460</v>
      </c>
      <c r="BP205" t="s">
        <v>74</v>
      </c>
      <c r="BQ205" t="s">
        <v>74</v>
      </c>
      <c r="BR205" t="s">
        <v>100</v>
      </c>
      <c r="BS205" t="s">
        <v>3354</v>
      </c>
      <c r="BT205" t="str">
        <f>HYPERLINK("https%3A%2F%2Fwww.webofscience.com%2Fwos%2Fwoscc%2Ffull-record%2FWOS:000239349400001","View Full Record in Web of Science")</f>
        <v>View Full Record in Web of Science</v>
      </c>
    </row>
    <row r="206" spans="1:72" x14ac:dyDescent="0.15">
      <c r="A206" t="s">
        <v>72</v>
      </c>
      <c r="B206" t="s">
        <v>3355</v>
      </c>
      <c r="C206" t="s">
        <v>74</v>
      </c>
      <c r="D206" t="s">
        <v>74</v>
      </c>
      <c r="E206" t="s">
        <v>74</v>
      </c>
      <c r="F206" t="s">
        <v>3356</v>
      </c>
      <c r="G206" t="s">
        <v>74</v>
      </c>
      <c r="H206" t="s">
        <v>74</v>
      </c>
      <c r="I206" t="s">
        <v>3357</v>
      </c>
      <c r="J206" t="s">
        <v>1340</v>
      </c>
      <c r="K206" t="s">
        <v>74</v>
      </c>
      <c r="L206" t="s">
        <v>74</v>
      </c>
      <c r="M206" t="s">
        <v>78</v>
      </c>
      <c r="N206" t="s">
        <v>79</v>
      </c>
      <c r="O206" t="s">
        <v>74</v>
      </c>
      <c r="P206" t="s">
        <v>74</v>
      </c>
      <c r="Q206" t="s">
        <v>74</v>
      </c>
      <c r="R206" t="s">
        <v>74</v>
      </c>
      <c r="S206" t="s">
        <v>74</v>
      </c>
      <c r="T206" t="s">
        <v>74</v>
      </c>
      <c r="U206" t="s">
        <v>3358</v>
      </c>
      <c r="V206" t="s">
        <v>3359</v>
      </c>
      <c r="W206" t="s">
        <v>3360</v>
      </c>
      <c r="X206" t="s">
        <v>3361</v>
      </c>
      <c r="Y206" t="s">
        <v>3362</v>
      </c>
      <c r="Z206" t="s">
        <v>3363</v>
      </c>
      <c r="AA206" t="s">
        <v>3364</v>
      </c>
      <c r="AB206" t="s">
        <v>3365</v>
      </c>
      <c r="AC206" t="s">
        <v>74</v>
      </c>
      <c r="AD206" t="s">
        <v>74</v>
      </c>
      <c r="AE206" t="s">
        <v>74</v>
      </c>
      <c r="AF206" t="s">
        <v>74</v>
      </c>
      <c r="AG206">
        <v>39</v>
      </c>
      <c r="AH206">
        <v>27</v>
      </c>
      <c r="AI206">
        <v>27</v>
      </c>
      <c r="AJ206">
        <v>0</v>
      </c>
      <c r="AK206">
        <v>5</v>
      </c>
      <c r="AL206" t="s">
        <v>1376</v>
      </c>
      <c r="AM206" t="s">
        <v>1377</v>
      </c>
      <c r="AN206" t="s">
        <v>1378</v>
      </c>
      <c r="AO206" t="s">
        <v>1347</v>
      </c>
      <c r="AP206" t="s">
        <v>74</v>
      </c>
      <c r="AQ206" t="s">
        <v>74</v>
      </c>
      <c r="AR206" t="s">
        <v>1349</v>
      </c>
      <c r="AS206" t="s">
        <v>1350</v>
      </c>
      <c r="AT206" t="s">
        <v>2635</v>
      </c>
      <c r="AU206">
        <v>2006</v>
      </c>
      <c r="AV206">
        <v>41</v>
      </c>
      <c r="AW206">
        <v>7</v>
      </c>
      <c r="AX206" t="s">
        <v>74</v>
      </c>
      <c r="AY206" t="s">
        <v>74</v>
      </c>
      <c r="AZ206" t="s">
        <v>74</v>
      </c>
      <c r="BA206" t="s">
        <v>74</v>
      </c>
      <c r="BB206">
        <v>1081</v>
      </c>
      <c r="BC206">
        <v>1094</v>
      </c>
      <c r="BD206" t="s">
        <v>74</v>
      </c>
      <c r="BE206" t="s">
        <v>3366</v>
      </c>
      <c r="BF206" t="str">
        <f>HYPERLINK("http://dx.doi.org/10.1111/j.1945-5100.2006.tb00506.x","http://dx.doi.org/10.1111/j.1945-5100.2006.tb00506.x")</f>
        <v>http://dx.doi.org/10.1111/j.1945-5100.2006.tb00506.x</v>
      </c>
      <c r="BG206" t="s">
        <v>74</v>
      </c>
      <c r="BH206" t="s">
        <v>74</v>
      </c>
      <c r="BI206">
        <v>14</v>
      </c>
      <c r="BJ206" t="s">
        <v>608</v>
      </c>
      <c r="BK206" t="s">
        <v>97</v>
      </c>
      <c r="BL206" t="s">
        <v>608</v>
      </c>
      <c r="BM206" t="s">
        <v>3353</v>
      </c>
      <c r="BN206" t="s">
        <v>74</v>
      </c>
      <c r="BO206" t="s">
        <v>74</v>
      </c>
      <c r="BP206" t="s">
        <v>74</v>
      </c>
      <c r="BQ206" t="s">
        <v>74</v>
      </c>
      <c r="BR206" t="s">
        <v>100</v>
      </c>
      <c r="BS206" t="s">
        <v>3367</v>
      </c>
      <c r="BT206" t="str">
        <f>HYPERLINK("https%3A%2F%2Fwww.webofscience.com%2Fwos%2Fwoscc%2Ffull-record%2FWOS:000239349400009","View Full Record in Web of Science")</f>
        <v>View Full Record in Web of Science</v>
      </c>
    </row>
    <row r="207" spans="1:72" x14ac:dyDescent="0.15">
      <c r="A207" t="s">
        <v>72</v>
      </c>
      <c r="B207" t="s">
        <v>3368</v>
      </c>
      <c r="C207" t="s">
        <v>74</v>
      </c>
      <c r="D207" t="s">
        <v>74</v>
      </c>
      <c r="E207" t="s">
        <v>74</v>
      </c>
      <c r="F207" t="s">
        <v>3369</v>
      </c>
      <c r="G207" t="s">
        <v>74</v>
      </c>
      <c r="H207" t="s">
        <v>74</v>
      </c>
      <c r="I207" t="s">
        <v>3370</v>
      </c>
      <c r="J207" t="s">
        <v>1340</v>
      </c>
      <c r="K207" t="s">
        <v>74</v>
      </c>
      <c r="L207" t="s">
        <v>74</v>
      </c>
      <c r="M207" t="s">
        <v>78</v>
      </c>
      <c r="N207" t="s">
        <v>79</v>
      </c>
      <c r="O207" t="s">
        <v>74</v>
      </c>
      <c r="P207" t="s">
        <v>74</v>
      </c>
      <c r="Q207" t="s">
        <v>74</v>
      </c>
      <c r="R207" t="s">
        <v>74</v>
      </c>
      <c r="S207" t="s">
        <v>74</v>
      </c>
      <c r="T207" t="s">
        <v>74</v>
      </c>
      <c r="U207" t="s">
        <v>3371</v>
      </c>
      <c r="V207" t="s">
        <v>3372</v>
      </c>
      <c r="W207" t="s">
        <v>3373</v>
      </c>
      <c r="X207" t="s">
        <v>3374</v>
      </c>
      <c r="Y207" t="s">
        <v>3375</v>
      </c>
      <c r="Z207" t="s">
        <v>3376</v>
      </c>
      <c r="AA207" t="s">
        <v>3377</v>
      </c>
      <c r="AB207" t="s">
        <v>3378</v>
      </c>
      <c r="AC207" t="s">
        <v>74</v>
      </c>
      <c r="AD207" t="s">
        <v>74</v>
      </c>
      <c r="AE207" t="s">
        <v>74</v>
      </c>
      <c r="AF207" t="s">
        <v>74</v>
      </c>
      <c r="AG207">
        <v>43</v>
      </c>
      <c r="AH207">
        <v>52</v>
      </c>
      <c r="AI207">
        <v>54</v>
      </c>
      <c r="AJ207">
        <v>0</v>
      </c>
      <c r="AK207">
        <v>6</v>
      </c>
      <c r="AL207" t="s">
        <v>115</v>
      </c>
      <c r="AM207" t="s">
        <v>116</v>
      </c>
      <c r="AN207" t="s">
        <v>117</v>
      </c>
      <c r="AO207" t="s">
        <v>1347</v>
      </c>
      <c r="AP207" t="s">
        <v>1348</v>
      </c>
      <c r="AQ207" t="s">
        <v>74</v>
      </c>
      <c r="AR207" t="s">
        <v>1349</v>
      </c>
      <c r="AS207" t="s">
        <v>1350</v>
      </c>
      <c r="AT207" t="s">
        <v>2635</v>
      </c>
      <c r="AU207">
        <v>2006</v>
      </c>
      <c r="AV207">
        <v>41</v>
      </c>
      <c r="AW207">
        <v>7</v>
      </c>
      <c r="AX207" t="s">
        <v>74</v>
      </c>
      <c r="AY207" t="s">
        <v>74</v>
      </c>
      <c r="AZ207" t="s">
        <v>74</v>
      </c>
      <c r="BA207" t="s">
        <v>74</v>
      </c>
      <c r="BB207">
        <v>1095</v>
      </c>
      <c r="BC207">
        <v>1114</v>
      </c>
      <c r="BD207" t="s">
        <v>74</v>
      </c>
      <c r="BE207" t="s">
        <v>3379</v>
      </c>
      <c r="BF207" t="str">
        <f>HYPERLINK("http://dx.doi.org/10.1111/j.1945-5100.2006.tb00507.x","http://dx.doi.org/10.1111/j.1945-5100.2006.tb00507.x")</f>
        <v>http://dx.doi.org/10.1111/j.1945-5100.2006.tb00507.x</v>
      </c>
      <c r="BG207" t="s">
        <v>74</v>
      </c>
      <c r="BH207" t="s">
        <v>74</v>
      </c>
      <c r="BI207">
        <v>20</v>
      </c>
      <c r="BJ207" t="s">
        <v>608</v>
      </c>
      <c r="BK207" t="s">
        <v>97</v>
      </c>
      <c r="BL207" t="s">
        <v>608</v>
      </c>
      <c r="BM207" t="s">
        <v>3353</v>
      </c>
      <c r="BN207" t="s">
        <v>74</v>
      </c>
      <c r="BO207" t="s">
        <v>74</v>
      </c>
      <c r="BP207" t="s">
        <v>74</v>
      </c>
      <c r="BQ207" t="s">
        <v>74</v>
      </c>
      <c r="BR207" t="s">
        <v>100</v>
      </c>
      <c r="BS207" t="s">
        <v>3380</v>
      </c>
      <c r="BT207" t="str">
        <f>HYPERLINK("https%3A%2F%2Fwww.webofscience.com%2Fwos%2Fwoscc%2Ffull-record%2FWOS:000239349400010","View Full Record in Web of Science")</f>
        <v>View Full Record in Web of Science</v>
      </c>
    </row>
    <row r="208" spans="1:72" x14ac:dyDescent="0.15">
      <c r="A208" t="s">
        <v>72</v>
      </c>
      <c r="B208" t="s">
        <v>3381</v>
      </c>
      <c r="C208" t="s">
        <v>74</v>
      </c>
      <c r="D208" t="s">
        <v>74</v>
      </c>
      <c r="E208" t="s">
        <v>74</v>
      </c>
      <c r="F208" t="s">
        <v>3382</v>
      </c>
      <c r="G208" t="s">
        <v>74</v>
      </c>
      <c r="H208" t="s">
        <v>74</v>
      </c>
      <c r="I208" t="s">
        <v>3383</v>
      </c>
      <c r="J208" t="s">
        <v>3384</v>
      </c>
      <c r="K208" t="s">
        <v>74</v>
      </c>
      <c r="L208" t="s">
        <v>74</v>
      </c>
      <c r="M208" t="s">
        <v>78</v>
      </c>
      <c r="N208" t="s">
        <v>79</v>
      </c>
      <c r="O208" t="s">
        <v>74</v>
      </c>
      <c r="P208" t="s">
        <v>74</v>
      </c>
      <c r="Q208" t="s">
        <v>74</v>
      </c>
      <c r="R208" t="s">
        <v>74</v>
      </c>
      <c r="S208" t="s">
        <v>74</v>
      </c>
      <c r="T208" t="s">
        <v>3385</v>
      </c>
      <c r="U208" t="s">
        <v>74</v>
      </c>
      <c r="V208" t="s">
        <v>3386</v>
      </c>
      <c r="W208" t="s">
        <v>3387</v>
      </c>
      <c r="X208" t="s">
        <v>74</v>
      </c>
      <c r="Y208" t="s">
        <v>3388</v>
      </c>
      <c r="Z208" t="s">
        <v>3389</v>
      </c>
      <c r="AA208" t="s">
        <v>74</v>
      </c>
      <c r="AB208" t="s">
        <v>74</v>
      </c>
      <c r="AC208" t="s">
        <v>74</v>
      </c>
      <c r="AD208" t="s">
        <v>74</v>
      </c>
      <c r="AE208" t="s">
        <v>74</v>
      </c>
      <c r="AF208" t="s">
        <v>74</v>
      </c>
      <c r="AG208">
        <v>50</v>
      </c>
      <c r="AH208">
        <v>32</v>
      </c>
      <c r="AI208">
        <v>33</v>
      </c>
      <c r="AJ208">
        <v>0</v>
      </c>
      <c r="AK208">
        <v>30</v>
      </c>
      <c r="AL208" t="s">
        <v>3390</v>
      </c>
      <c r="AM208" t="s">
        <v>3391</v>
      </c>
      <c r="AN208" t="s">
        <v>3392</v>
      </c>
      <c r="AO208" t="s">
        <v>3393</v>
      </c>
      <c r="AP208" t="s">
        <v>3394</v>
      </c>
      <c r="AQ208" t="s">
        <v>74</v>
      </c>
      <c r="AR208" t="s">
        <v>3395</v>
      </c>
      <c r="AS208" t="s">
        <v>3396</v>
      </c>
      <c r="AT208" t="s">
        <v>3397</v>
      </c>
      <c r="AU208">
        <v>2006</v>
      </c>
      <c r="AV208">
        <v>37</v>
      </c>
      <c r="AW208" t="s">
        <v>1243</v>
      </c>
      <c r="AX208" t="s">
        <v>74</v>
      </c>
      <c r="AY208" t="s">
        <v>74</v>
      </c>
      <c r="AZ208" t="s">
        <v>74</v>
      </c>
      <c r="BA208" t="s">
        <v>74</v>
      </c>
      <c r="BB208">
        <v>265</v>
      </c>
      <c r="BC208">
        <v>297</v>
      </c>
      <c r="BD208" t="s">
        <v>74</v>
      </c>
      <c r="BE208" t="s">
        <v>3398</v>
      </c>
      <c r="BF208" t="str">
        <f>HYPERLINK("http://dx.doi.org/10.1080/00908320600800929","http://dx.doi.org/10.1080/00908320600800929")</f>
        <v>http://dx.doi.org/10.1080/00908320600800929</v>
      </c>
      <c r="BG208" t="s">
        <v>74</v>
      </c>
      <c r="BH208" t="s">
        <v>74</v>
      </c>
      <c r="BI208">
        <v>33</v>
      </c>
      <c r="BJ208" t="s">
        <v>3399</v>
      </c>
      <c r="BK208" t="s">
        <v>3055</v>
      </c>
      <c r="BL208" t="s">
        <v>3400</v>
      </c>
      <c r="BM208" t="s">
        <v>3401</v>
      </c>
      <c r="BN208" t="s">
        <v>74</v>
      </c>
      <c r="BO208" t="s">
        <v>74</v>
      </c>
      <c r="BP208" t="s">
        <v>74</v>
      </c>
      <c r="BQ208" t="s">
        <v>74</v>
      </c>
      <c r="BR208" t="s">
        <v>100</v>
      </c>
      <c r="BS208" t="s">
        <v>3402</v>
      </c>
      <c r="BT208" t="str">
        <f>HYPERLINK("https%3A%2F%2Fwww.webofscience.com%2Fwos%2Fwoscc%2Ffull-record%2FWOS:000239235900001","View Full Record in Web of Science")</f>
        <v>View Full Record in Web of Science</v>
      </c>
    </row>
    <row r="209" spans="1:72" x14ac:dyDescent="0.15">
      <c r="A209" t="s">
        <v>72</v>
      </c>
      <c r="B209" t="s">
        <v>3403</v>
      </c>
      <c r="C209" t="s">
        <v>74</v>
      </c>
      <c r="D209" t="s">
        <v>74</v>
      </c>
      <c r="E209" t="s">
        <v>74</v>
      </c>
      <c r="F209" t="s">
        <v>3404</v>
      </c>
      <c r="G209" t="s">
        <v>74</v>
      </c>
      <c r="H209" t="s">
        <v>74</v>
      </c>
      <c r="I209" t="s">
        <v>3405</v>
      </c>
      <c r="J209" t="s">
        <v>3406</v>
      </c>
      <c r="K209" t="s">
        <v>74</v>
      </c>
      <c r="L209" t="s">
        <v>74</v>
      </c>
      <c r="M209" t="s">
        <v>78</v>
      </c>
      <c r="N209" t="s">
        <v>79</v>
      </c>
      <c r="O209" t="s">
        <v>74</v>
      </c>
      <c r="P209" t="s">
        <v>74</v>
      </c>
      <c r="Q209" t="s">
        <v>74</v>
      </c>
      <c r="R209" t="s">
        <v>74</v>
      </c>
      <c r="S209" t="s">
        <v>74</v>
      </c>
      <c r="T209" t="s">
        <v>74</v>
      </c>
      <c r="U209" t="s">
        <v>3407</v>
      </c>
      <c r="V209" t="s">
        <v>3408</v>
      </c>
      <c r="W209" t="s">
        <v>3409</v>
      </c>
      <c r="X209" t="s">
        <v>597</v>
      </c>
      <c r="Y209" t="s">
        <v>3410</v>
      </c>
      <c r="Z209" t="s">
        <v>74</v>
      </c>
      <c r="AA209" t="s">
        <v>74</v>
      </c>
      <c r="AB209" t="s">
        <v>74</v>
      </c>
      <c r="AC209" t="s">
        <v>74</v>
      </c>
      <c r="AD209" t="s">
        <v>74</v>
      </c>
      <c r="AE209" t="s">
        <v>74</v>
      </c>
      <c r="AF209" t="s">
        <v>74</v>
      </c>
      <c r="AG209">
        <v>14</v>
      </c>
      <c r="AH209">
        <v>0</v>
      </c>
      <c r="AI209">
        <v>0</v>
      </c>
      <c r="AJ209">
        <v>0</v>
      </c>
      <c r="AK209">
        <v>4</v>
      </c>
      <c r="AL209" t="s">
        <v>601</v>
      </c>
      <c r="AM209" t="s">
        <v>476</v>
      </c>
      <c r="AN209" t="s">
        <v>602</v>
      </c>
      <c r="AO209" t="s">
        <v>3411</v>
      </c>
      <c r="AP209" t="s">
        <v>74</v>
      </c>
      <c r="AQ209" t="s">
        <v>74</v>
      </c>
      <c r="AR209" t="s">
        <v>3412</v>
      </c>
      <c r="AS209" t="s">
        <v>3413</v>
      </c>
      <c r="AT209" t="s">
        <v>2635</v>
      </c>
      <c r="AU209">
        <v>2006</v>
      </c>
      <c r="AV209">
        <v>46</v>
      </c>
      <c r="AW209">
        <v>4</v>
      </c>
      <c r="AX209" t="s">
        <v>74</v>
      </c>
      <c r="AY209" t="s">
        <v>74</v>
      </c>
      <c r="AZ209" t="s">
        <v>74</v>
      </c>
      <c r="BA209" t="s">
        <v>74</v>
      </c>
      <c r="BB209">
        <v>453</v>
      </c>
      <c r="BC209">
        <v>464</v>
      </c>
      <c r="BD209" t="s">
        <v>74</v>
      </c>
      <c r="BE209" t="s">
        <v>3414</v>
      </c>
      <c r="BF209" t="str">
        <f>HYPERLINK("http://dx.doi.org/10.1134/S0001437006040023","http://dx.doi.org/10.1134/S0001437006040023")</f>
        <v>http://dx.doi.org/10.1134/S0001437006040023</v>
      </c>
      <c r="BG209" t="s">
        <v>74</v>
      </c>
      <c r="BH209" t="s">
        <v>74</v>
      </c>
      <c r="BI209">
        <v>12</v>
      </c>
      <c r="BJ209" t="s">
        <v>1069</v>
      </c>
      <c r="BK209" t="s">
        <v>97</v>
      </c>
      <c r="BL209" t="s">
        <v>1069</v>
      </c>
      <c r="BM209" t="s">
        <v>3415</v>
      </c>
      <c r="BN209" t="s">
        <v>74</v>
      </c>
      <c r="BO209" t="s">
        <v>74</v>
      </c>
      <c r="BP209" t="s">
        <v>74</v>
      </c>
      <c r="BQ209" t="s">
        <v>74</v>
      </c>
      <c r="BR209" t="s">
        <v>100</v>
      </c>
      <c r="BS209" t="s">
        <v>3416</v>
      </c>
      <c r="BT209" t="str">
        <f>HYPERLINK("https%3A%2F%2Fwww.webofscience.com%2Fwos%2Fwoscc%2Ffull-record%2FWOS:000245652200002","View Full Record in Web of Science")</f>
        <v>View Full Record in Web of Science</v>
      </c>
    </row>
    <row r="210" spans="1:72" x14ac:dyDescent="0.15">
      <c r="A210" t="s">
        <v>72</v>
      </c>
      <c r="B210" t="s">
        <v>3417</v>
      </c>
      <c r="C210" t="s">
        <v>74</v>
      </c>
      <c r="D210" t="s">
        <v>74</v>
      </c>
      <c r="E210" t="s">
        <v>74</v>
      </c>
      <c r="F210" t="s">
        <v>3418</v>
      </c>
      <c r="G210" t="s">
        <v>74</v>
      </c>
      <c r="H210" t="s">
        <v>74</v>
      </c>
      <c r="I210" t="s">
        <v>3419</v>
      </c>
      <c r="J210" t="s">
        <v>3420</v>
      </c>
      <c r="K210" t="s">
        <v>74</v>
      </c>
      <c r="L210" t="s">
        <v>74</v>
      </c>
      <c r="M210" t="s">
        <v>78</v>
      </c>
      <c r="N210" t="s">
        <v>79</v>
      </c>
      <c r="O210" t="s">
        <v>74</v>
      </c>
      <c r="P210" t="s">
        <v>74</v>
      </c>
      <c r="Q210" t="s">
        <v>74</v>
      </c>
      <c r="R210" t="s">
        <v>74</v>
      </c>
      <c r="S210" t="s">
        <v>74</v>
      </c>
      <c r="T210" t="s">
        <v>3421</v>
      </c>
      <c r="U210" t="s">
        <v>3422</v>
      </c>
      <c r="V210" t="s">
        <v>3423</v>
      </c>
      <c r="W210" t="s">
        <v>3424</v>
      </c>
      <c r="X210" t="s">
        <v>74</v>
      </c>
      <c r="Y210" t="s">
        <v>3425</v>
      </c>
      <c r="Z210" t="s">
        <v>3426</v>
      </c>
      <c r="AA210" t="s">
        <v>74</v>
      </c>
      <c r="AB210" t="s">
        <v>74</v>
      </c>
      <c r="AC210" t="s">
        <v>74</v>
      </c>
      <c r="AD210" t="s">
        <v>74</v>
      </c>
      <c r="AE210" t="s">
        <v>74</v>
      </c>
      <c r="AF210" t="s">
        <v>74</v>
      </c>
      <c r="AG210">
        <v>53</v>
      </c>
      <c r="AH210">
        <v>41</v>
      </c>
      <c r="AI210">
        <v>51</v>
      </c>
      <c r="AJ210">
        <v>4</v>
      </c>
      <c r="AK210">
        <v>22</v>
      </c>
      <c r="AL210" t="s">
        <v>115</v>
      </c>
      <c r="AM210" t="s">
        <v>116</v>
      </c>
      <c r="AN210" t="s">
        <v>117</v>
      </c>
      <c r="AO210" t="s">
        <v>3427</v>
      </c>
      <c r="AP210" t="s">
        <v>3428</v>
      </c>
      <c r="AQ210" t="s">
        <v>74</v>
      </c>
      <c r="AR210" t="s">
        <v>3429</v>
      </c>
      <c r="AS210" t="s">
        <v>3430</v>
      </c>
      <c r="AT210" t="s">
        <v>3431</v>
      </c>
      <c r="AU210">
        <v>2006</v>
      </c>
      <c r="AV210">
        <v>17</v>
      </c>
      <c r="AW210">
        <v>3</v>
      </c>
      <c r="AX210" t="s">
        <v>74</v>
      </c>
      <c r="AY210" t="s">
        <v>74</v>
      </c>
      <c r="AZ210" t="s">
        <v>74</v>
      </c>
      <c r="BA210" t="s">
        <v>74</v>
      </c>
      <c r="BB210">
        <v>215</v>
      </c>
      <c r="BC210">
        <v>232</v>
      </c>
      <c r="BD210" t="s">
        <v>74</v>
      </c>
      <c r="BE210" t="s">
        <v>3432</v>
      </c>
      <c r="BF210" t="str">
        <f>HYPERLINK("http://dx.doi.org/10.1002/ppp.557","http://dx.doi.org/10.1002/ppp.557")</f>
        <v>http://dx.doi.org/10.1002/ppp.557</v>
      </c>
      <c r="BG210" t="s">
        <v>74</v>
      </c>
      <c r="BH210" t="s">
        <v>74</v>
      </c>
      <c r="BI210">
        <v>18</v>
      </c>
      <c r="BJ210" t="s">
        <v>3433</v>
      </c>
      <c r="BK210" t="s">
        <v>97</v>
      </c>
      <c r="BL210" t="s">
        <v>2894</v>
      </c>
      <c r="BM210" t="s">
        <v>3434</v>
      </c>
      <c r="BN210" t="s">
        <v>74</v>
      </c>
      <c r="BO210" t="s">
        <v>74</v>
      </c>
      <c r="BP210" t="s">
        <v>74</v>
      </c>
      <c r="BQ210" t="s">
        <v>74</v>
      </c>
      <c r="BR210" t="s">
        <v>100</v>
      </c>
      <c r="BS210" t="s">
        <v>3435</v>
      </c>
      <c r="BT210" t="str">
        <f>HYPERLINK("https%3A%2F%2Fwww.webofscience.com%2Fwos%2Fwoscc%2Ffull-record%2FWOS:000240747700002","View Full Record in Web of Science")</f>
        <v>View Full Record in Web of Science</v>
      </c>
    </row>
    <row r="211" spans="1:72" x14ac:dyDescent="0.15">
      <c r="A211" t="s">
        <v>72</v>
      </c>
      <c r="B211" t="s">
        <v>3436</v>
      </c>
      <c r="C211" t="s">
        <v>74</v>
      </c>
      <c r="D211" t="s">
        <v>74</v>
      </c>
      <c r="E211" t="s">
        <v>74</v>
      </c>
      <c r="F211" t="s">
        <v>3437</v>
      </c>
      <c r="G211" t="s">
        <v>74</v>
      </c>
      <c r="H211" t="s">
        <v>74</v>
      </c>
      <c r="I211" t="s">
        <v>3438</v>
      </c>
      <c r="J211" t="s">
        <v>3439</v>
      </c>
      <c r="K211" t="s">
        <v>74</v>
      </c>
      <c r="L211" t="s">
        <v>74</v>
      </c>
      <c r="M211" t="s">
        <v>78</v>
      </c>
      <c r="N211" t="s">
        <v>79</v>
      </c>
      <c r="O211" t="s">
        <v>74</v>
      </c>
      <c r="P211" t="s">
        <v>74</v>
      </c>
      <c r="Q211" t="s">
        <v>74</v>
      </c>
      <c r="R211" t="s">
        <v>74</v>
      </c>
      <c r="S211" t="s">
        <v>74</v>
      </c>
      <c r="T211" t="s">
        <v>74</v>
      </c>
      <c r="U211" t="s">
        <v>3440</v>
      </c>
      <c r="V211" t="s">
        <v>3441</v>
      </c>
      <c r="W211" t="s">
        <v>3442</v>
      </c>
      <c r="X211" t="s">
        <v>3443</v>
      </c>
      <c r="Y211" t="s">
        <v>3444</v>
      </c>
      <c r="Z211" t="s">
        <v>3445</v>
      </c>
      <c r="AA211" t="s">
        <v>74</v>
      </c>
      <c r="AB211" t="s">
        <v>3446</v>
      </c>
      <c r="AC211" t="s">
        <v>74</v>
      </c>
      <c r="AD211" t="s">
        <v>74</v>
      </c>
      <c r="AE211" t="s">
        <v>74</v>
      </c>
      <c r="AF211" t="s">
        <v>74</v>
      </c>
      <c r="AG211">
        <v>39</v>
      </c>
      <c r="AH211">
        <v>45</v>
      </c>
      <c r="AI211">
        <v>48</v>
      </c>
      <c r="AJ211">
        <v>0</v>
      </c>
      <c r="AK211">
        <v>7</v>
      </c>
      <c r="AL211" t="s">
        <v>115</v>
      </c>
      <c r="AM211" t="s">
        <v>116</v>
      </c>
      <c r="AN211" t="s">
        <v>117</v>
      </c>
      <c r="AO211" t="s">
        <v>3447</v>
      </c>
      <c r="AP211" t="s">
        <v>3448</v>
      </c>
      <c r="AQ211" t="s">
        <v>74</v>
      </c>
      <c r="AR211" t="s">
        <v>3449</v>
      </c>
      <c r="AS211" t="s">
        <v>3450</v>
      </c>
      <c r="AT211" t="s">
        <v>2757</v>
      </c>
      <c r="AU211">
        <v>2006</v>
      </c>
      <c r="AV211">
        <v>82</v>
      </c>
      <c r="AW211">
        <v>4</v>
      </c>
      <c r="AX211" t="s">
        <v>74</v>
      </c>
      <c r="AY211" t="s">
        <v>74</v>
      </c>
      <c r="AZ211" t="s">
        <v>74</v>
      </c>
      <c r="BA211" t="s">
        <v>74</v>
      </c>
      <c r="BB211">
        <v>834</v>
      </c>
      <c r="BC211">
        <v>843</v>
      </c>
      <c r="BD211" t="s">
        <v>74</v>
      </c>
      <c r="BE211" t="s">
        <v>3451</v>
      </c>
      <c r="BF211" t="str">
        <f>HYPERLINK("http://dx.doi.org/10.1562/2005-09-26-RA-697","http://dx.doi.org/10.1562/2005-09-26-RA-697")</f>
        <v>http://dx.doi.org/10.1562/2005-09-26-RA-697</v>
      </c>
      <c r="BG211" t="s">
        <v>74</v>
      </c>
      <c r="BH211" t="s">
        <v>74</v>
      </c>
      <c r="BI211">
        <v>10</v>
      </c>
      <c r="BJ211" t="s">
        <v>3452</v>
      </c>
      <c r="BK211" t="s">
        <v>97</v>
      </c>
      <c r="BL211" t="s">
        <v>3452</v>
      </c>
      <c r="BM211" t="s">
        <v>3453</v>
      </c>
      <c r="BN211">
        <v>16613525</v>
      </c>
      <c r="BO211" t="s">
        <v>99</v>
      </c>
      <c r="BP211" t="s">
        <v>74</v>
      </c>
      <c r="BQ211" t="s">
        <v>74</v>
      </c>
      <c r="BR211" t="s">
        <v>100</v>
      </c>
      <c r="BS211" t="s">
        <v>3454</v>
      </c>
      <c r="BT211" t="str">
        <f>HYPERLINK("https%3A%2F%2Fwww.webofscience.com%2Fwos%2Fwoscc%2Ffull-record%2FWOS:000240088300003","View Full Record in Web of Science")</f>
        <v>View Full Record in Web of Science</v>
      </c>
    </row>
    <row r="212" spans="1:72" x14ac:dyDescent="0.15">
      <c r="A212" t="s">
        <v>72</v>
      </c>
      <c r="B212" t="s">
        <v>3455</v>
      </c>
      <c r="C212" t="s">
        <v>74</v>
      </c>
      <c r="D212" t="s">
        <v>74</v>
      </c>
      <c r="E212" t="s">
        <v>74</v>
      </c>
      <c r="F212" t="s">
        <v>3456</v>
      </c>
      <c r="G212" t="s">
        <v>74</v>
      </c>
      <c r="H212" t="s">
        <v>74</v>
      </c>
      <c r="I212" t="s">
        <v>3457</v>
      </c>
      <c r="J212" t="s">
        <v>3439</v>
      </c>
      <c r="K212" t="s">
        <v>74</v>
      </c>
      <c r="L212" t="s">
        <v>74</v>
      </c>
      <c r="M212" t="s">
        <v>78</v>
      </c>
      <c r="N212" t="s">
        <v>79</v>
      </c>
      <c r="O212" t="s">
        <v>74</v>
      </c>
      <c r="P212" t="s">
        <v>74</v>
      </c>
      <c r="Q212" t="s">
        <v>74</v>
      </c>
      <c r="R212" t="s">
        <v>74</v>
      </c>
      <c r="S212" t="s">
        <v>74</v>
      </c>
      <c r="T212" t="s">
        <v>74</v>
      </c>
      <c r="U212" t="s">
        <v>3458</v>
      </c>
      <c r="V212" t="s">
        <v>3459</v>
      </c>
      <c r="W212" t="s">
        <v>3460</v>
      </c>
      <c r="X212" t="s">
        <v>3461</v>
      </c>
      <c r="Y212" t="s">
        <v>3462</v>
      </c>
      <c r="Z212" t="s">
        <v>3463</v>
      </c>
      <c r="AA212" t="s">
        <v>3464</v>
      </c>
      <c r="AB212" t="s">
        <v>3465</v>
      </c>
      <c r="AC212" t="s">
        <v>74</v>
      </c>
      <c r="AD212" t="s">
        <v>74</v>
      </c>
      <c r="AE212" t="s">
        <v>74</v>
      </c>
      <c r="AF212" t="s">
        <v>74</v>
      </c>
      <c r="AG212">
        <v>76</v>
      </c>
      <c r="AH212">
        <v>32</v>
      </c>
      <c r="AI212">
        <v>34</v>
      </c>
      <c r="AJ212">
        <v>0</v>
      </c>
      <c r="AK212">
        <v>12</v>
      </c>
      <c r="AL212" t="s">
        <v>115</v>
      </c>
      <c r="AM212" t="s">
        <v>116</v>
      </c>
      <c r="AN212" t="s">
        <v>117</v>
      </c>
      <c r="AO212" t="s">
        <v>3447</v>
      </c>
      <c r="AP212" t="s">
        <v>3448</v>
      </c>
      <c r="AQ212" t="s">
        <v>74</v>
      </c>
      <c r="AR212" t="s">
        <v>3449</v>
      </c>
      <c r="AS212" t="s">
        <v>3450</v>
      </c>
      <c r="AT212" t="s">
        <v>2757</v>
      </c>
      <c r="AU212">
        <v>2006</v>
      </c>
      <c r="AV212">
        <v>82</v>
      </c>
      <c r="AW212">
        <v>4</v>
      </c>
      <c r="AX212" t="s">
        <v>74</v>
      </c>
      <c r="AY212" t="s">
        <v>74</v>
      </c>
      <c r="AZ212" t="s">
        <v>74</v>
      </c>
      <c r="BA212" t="s">
        <v>74</v>
      </c>
      <c r="BB212">
        <v>923</v>
      </c>
      <c r="BC212">
        <v>935</v>
      </c>
      <c r="BD212" t="s">
        <v>74</v>
      </c>
      <c r="BE212" t="s">
        <v>3466</v>
      </c>
      <c r="BF212" t="str">
        <f>HYPERLINK("http://dx.doi.org/10.1562/2005-08-29-RA-662","http://dx.doi.org/10.1562/2005-08-29-RA-662")</f>
        <v>http://dx.doi.org/10.1562/2005-08-29-RA-662</v>
      </c>
      <c r="BG212" t="s">
        <v>74</v>
      </c>
      <c r="BH212" t="s">
        <v>74</v>
      </c>
      <c r="BI212">
        <v>13</v>
      </c>
      <c r="BJ212" t="s">
        <v>3452</v>
      </c>
      <c r="BK212" t="s">
        <v>97</v>
      </c>
      <c r="BL212" t="s">
        <v>3452</v>
      </c>
      <c r="BM212" t="s">
        <v>3453</v>
      </c>
      <c r="BN212">
        <v>16724874</v>
      </c>
      <c r="BO212" t="s">
        <v>74</v>
      </c>
      <c r="BP212" t="s">
        <v>74</v>
      </c>
      <c r="BQ212" t="s">
        <v>74</v>
      </c>
      <c r="BR212" t="s">
        <v>100</v>
      </c>
      <c r="BS212" t="s">
        <v>3467</v>
      </c>
      <c r="BT212" t="str">
        <f>HYPERLINK("https%3A%2F%2Fwww.webofscience.com%2Fwos%2Fwoscc%2Ffull-record%2FWOS:000240088300013","View Full Record in Web of Science")</f>
        <v>View Full Record in Web of Science</v>
      </c>
    </row>
    <row r="213" spans="1:72" x14ac:dyDescent="0.15">
      <c r="A213" t="s">
        <v>72</v>
      </c>
      <c r="B213" t="s">
        <v>3468</v>
      </c>
      <c r="C213" t="s">
        <v>74</v>
      </c>
      <c r="D213" t="s">
        <v>74</v>
      </c>
      <c r="E213" t="s">
        <v>74</v>
      </c>
      <c r="F213" t="s">
        <v>3469</v>
      </c>
      <c r="G213" t="s">
        <v>74</v>
      </c>
      <c r="H213" t="s">
        <v>74</v>
      </c>
      <c r="I213" t="s">
        <v>3470</v>
      </c>
      <c r="J213" t="s">
        <v>3471</v>
      </c>
      <c r="K213" t="s">
        <v>74</v>
      </c>
      <c r="L213" t="s">
        <v>74</v>
      </c>
      <c r="M213" t="s">
        <v>78</v>
      </c>
      <c r="N213" t="s">
        <v>79</v>
      </c>
      <c r="O213" t="s">
        <v>74</v>
      </c>
      <c r="P213" t="s">
        <v>74</v>
      </c>
      <c r="Q213" t="s">
        <v>74</v>
      </c>
      <c r="R213" t="s">
        <v>74</v>
      </c>
      <c r="S213" t="s">
        <v>74</v>
      </c>
      <c r="T213" t="s">
        <v>74</v>
      </c>
      <c r="U213" t="s">
        <v>3472</v>
      </c>
      <c r="V213" t="s">
        <v>3473</v>
      </c>
      <c r="W213" t="s">
        <v>3474</v>
      </c>
      <c r="X213" t="s">
        <v>3475</v>
      </c>
      <c r="Y213" t="s">
        <v>3476</v>
      </c>
      <c r="Z213" t="s">
        <v>74</v>
      </c>
      <c r="AA213" t="s">
        <v>3477</v>
      </c>
      <c r="AB213" t="s">
        <v>3478</v>
      </c>
      <c r="AC213" t="s">
        <v>74</v>
      </c>
      <c r="AD213" t="s">
        <v>74</v>
      </c>
      <c r="AE213" t="s">
        <v>74</v>
      </c>
      <c r="AF213" t="s">
        <v>74</v>
      </c>
      <c r="AG213">
        <v>59</v>
      </c>
      <c r="AH213">
        <v>51</v>
      </c>
      <c r="AI213">
        <v>54</v>
      </c>
      <c r="AJ213">
        <v>0</v>
      </c>
      <c r="AK213">
        <v>1</v>
      </c>
      <c r="AL213" t="s">
        <v>3479</v>
      </c>
      <c r="AM213" t="s">
        <v>3480</v>
      </c>
      <c r="AN213" t="s">
        <v>3481</v>
      </c>
      <c r="AO213" t="s">
        <v>3482</v>
      </c>
      <c r="AP213" t="s">
        <v>3483</v>
      </c>
      <c r="AQ213" t="s">
        <v>74</v>
      </c>
      <c r="AR213" t="s">
        <v>3484</v>
      </c>
      <c r="AS213" t="s">
        <v>3485</v>
      </c>
      <c r="AT213" t="s">
        <v>2635</v>
      </c>
      <c r="AU213">
        <v>2006</v>
      </c>
      <c r="AV213">
        <v>74</v>
      </c>
      <c r="AW213">
        <v>2</v>
      </c>
      <c r="AX213" t="s">
        <v>74</v>
      </c>
      <c r="AY213" t="s">
        <v>74</v>
      </c>
      <c r="AZ213" t="s">
        <v>74</v>
      </c>
      <c r="BA213" t="s">
        <v>74</v>
      </c>
      <c r="BB213" t="s">
        <v>74</v>
      </c>
      <c r="BC213" t="s">
        <v>74</v>
      </c>
      <c r="BD213">
        <v>23007</v>
      </c>
      <c r="BE213" t="s">
        <v>3486</v>
      </c>
      <c r="BF213" t="str">
        <f>HYPERLINK("http://dx.doi.org/10.1103/PhysRevD.74.023007","http://dx.doi.org/10.1103/PhysRevD.74.023007")</f>
        <v>http://dx.doi.org/10.1103/PhysRevD.74.023007</v>
      </c>
      <c r="BG213" t="s">
        <v>74</v>
      </c>
      <c r="BH213" t="s">
        <v>74</v>
      </c>
      <c r="BI213">
        <v>9</v>
      </c>
      <c r="BJ213" t="s">
        <v>3487</v>
      </c>
      <c r="BK213" t="s">
        <v>97</v>
      </c>
      <c r="BL213" t="s">
        <v>3488</v>
      </c>
      <c r="BM213" t="s">
        <v>3489</v>
      </c>
      <c r="BN213" t="s">
        <v>74</v>
      </c>
      <c r="BO213" t="s">
        <v>74</v>
      </c>
      <c r="BP213" t="s">
        <v>74</v>
      </c>
      <c r="BQ213" t="s">
        <v>74</v>
      </c>
      <c r="BR213" t="s">
        <v>100</v>
      </c>
      <c r="BS213" t="s">
        <v>3490</v>
      </c>
      <c r="BT213" t="str">
        <f>HYPERLINK("https%3A%2F%2Fwww.webofscience.com%2Fwos%2Fwoscc%2Ffull-record%2FWOS:000239512000014","View Full Record in Web of Science")</f>
        <v>View Full Record in Web of Science</v>
      </c>
    </row>
    <row r="214" spans="1:72" x14ac:dyDescent="0.15">
      <c r="A214" t="s">
        <v>72</v>
      </c>
      <c r="B214" t="s">
        <v>3491</v>
      </c>
      <c r="C214" t="s">
        <v>74</v>
      </c>
      <c r="D214" t="s">
        <v>74</v>
      </c>
      <c r="E214" t="s">
        <v>74</v>
      </c>
      <c r="F214" t="s">
        <v>3492</v>
      </c>
      <c r="G214" t="s">
        <v>74</v>
      </c>
      <c r="H214" t="s">
        <v>74</v>
      </c>
      <c r="I214" t="s">
        <v>3493</v>
      </c>
      <c r="J214" t="s">
        <v>3494</v>
      </c>
      <c r="K214" t="s">
        <v>74</v>
      </c>
      <c r="L214" t="s">
        <v>74</v>
      </c>
      <c r="M214" t="s">
        <v>78</v>
      </c>
      <c r="N214" t="s">
        <v>552</v>
      </c>
      <c r="O214" t="s">
        <v>74</v>
      </c>
      <c r="P214" t="s">
        <v>74</v>
      </c>
      <c r="Q214" t="s">
        <v>74</v>
      </c>
      <c r="R214" t="s">
        <v>74</v>
      </c>
      <c r="S214" t="s">
        <v>74</v>
      </c>
      <c r="T214" t="s">
        <v>74</v>
      </c>
      <c r="U214" t="s">
        <v>3495</v>
      </c>
      <c r="V214" t="s">
        <v>3496</v>
      </c>
      <c r="W214" t="s">
        <v>3497</v>
      </c>
      <c r="X214" t="s">
        <v>3498</v>
      </c>
      <c r="Y214" t="s">
        <v>3499</v>
      </c>
      <c r="Z214" t="s">
        <v>3500</v>
      </c>
      <c r="AA214" t="s">
        <v>74</v>
      </c>
      <c r="AB214" t="s">
        <v>3501</v>
      </c>
      <c r="AC214" t="s">
        <v>74</v>
      </c>
      <c r="AD214" t="s">
        <v>74</v>
      </c>
      <c r="AE214" t="s">
        <v>74</v>
      </c>
      <c r="AF214" t="s">
        <v>74</v>
      </c>
      <c r="AG214">
        <v>72</v>
      </c>
      <c r="AH214">
        <v>28</v>
      </c>
      <c r="AI214">
        <v>32</v>
      </c>
      <c r="AJ214">
        <v>0</v>
      </c>
      <c r="AK214">
        <v>16</v>
      </c>
      <c r="AL214" t="s">
        <v>3502</v>
      </c>
      <c r="AM214" t="s">
        <v>3503</v>
      </c>
      <c r="AN214" t="s">
        <v>3504</v>
      </c>
      <c r="AO214" t="s">
        <v>3505</v>
      </c>
      <c r="AP214" t="s">
        <v>3506</v>
      </c>
      <c r="AQ214" t="s">
        <v>74</v>
      </c>
      <c r="AR214" t="s">
        <v>3507</v>
      </c>
      <c r="AS214" t="s">
        <v>3508</v>
      </c>
      <c r="AT214" t="s">
        <v>2757</v>
      </c>
      <c r="AU214">
        <v>2006</v>
      </c>
      <c r="AV214">
        <v>79</v>
      </c>
      <c r="AW214">
        <v>4</v>
      </c>
      <c r="AX214" t="s">
        <v>74</v>
      </c>
      <c r="AY214" t="s">
        <v>74</v>
      </c>
      <c r="AZ214" t="s">
        <v>74</v>
      </c>
      <c r="BA214" t="s">
        <v>74</v>
      </c>
      <c r="BB214">
        <v>820</v>
      </c>
      <c r="BC214">
        <v>829</v>
      </c>
      <c r="BD214" t="s">
        <v>74</v>
      </c>
      <c r="BE214" t="s">
        <v>3509</v>
      </c>
      <c r="BF214" t="str">
        <f>HYPERLINK("http://dx.doi.org/10.1086/505513","http://dx.doi.org/10.1086/505513")</f>
        <v>http://dx.doi.org/10.1086/505513</v>
      </c>
      <c r="BG214" t="s">
        <v>74</v>
      </c>
      <c r="BH214" t="s">
        <v>74</v>
      </c>
      <c r="BI214">
        <v>10</v>
      </c>
      <c r="BJ214" t="s">
        <v>3510</v>
      </c>
      <c r="BK214" t="s">
        <v>97</v>
      </c>
      <c r="BL214" t="s">
        <v>3510</v>
      </c>
      <c r="BM214" t="s">
        <v>3511</v>
      </c>
      <c r="BN214">
        <v>16826508</v>
      </c>
      <c r="BO214" t="s">
        <v>74</v>
      </c>
      <c r="BP214" t="s">
        <v>74</v>
      </c>
      <c r="BQ214" t="s">
        <v>74</v>
      </c>
      <c r="BR214" t="s">
        <v>100</v>
      </c>
      <c r="BS214" t="s">
        <v>3512</v>
      </c>
      <c r="BT214" t="str">
        <f>HYPERLINK("https%3A%2F%2Fwww.webofscience.com%2Fwos%2Fwoscc%2Ffull-record%2FWOS:000238927100015","View Full Record in Web of Science")</f>
        <v>View Full Record in Web of Science</v>
      </c>
    </row>
    <row r="215" spans="1:72" x14ac:dyDescent="0.15">
      <c r="A215" t="s">
        <v>72</v>
      </c>
      <c r="B215" t="s">
        <v>3513</v>
      </c>
      <c r="C215" t="s">
        <v>74</v>
      </c>
      <c r="D215" t="s">
        <v>74</v>
      </c>
      <c r="E215" t="s">
        <v>74</v>
      </c>
      <c r="F215" t="s">
        <v>3513</v>
      </c>
      <c r="G215" t="s">
        <v>74</v>
      </c>
      <c r="H215" t="s">
        <v>74</v>
      </c>
      <c r="I215" t="s">
        <v>3514</v>
      </c>
      <c r="J215" t="s">
        <v>1511</v>
      </c>
      <c r="K215" t="s">
        <v>74</v>
      </c>
      <c r="L215" t="s">
        <v>74</v>
      </c>
      <c r="M215" t="s">
        <v>78</v>
      </c>
      <c r="N215" t="s">
        <v>79</v>
      </c>
      <c r="O215" t="s">
        <v>74</v>
      </c>
      <c r="P215" t="s">
        <v>74</v>
      </c>
      <c r="Q215" t="s">
        <v>74</v>
      </c>
      <c r="R215" t="s">
        <v>74</v>
      </c>
      <c r="S215" t="s">
        <v>74</v>
      </c>
      <c r="T215" t="s">
        <v>74</v>
      </c>
      <c r="U215" t="s">
        <v>3515</v>
      </c>
      <c r="V215" t="s">
        <v>3516</v>
      </c>
      <c r="W215" t="s">
        <v>3517</v>
      </c>
      <c r="X215" t="s">
        <v>74</v>
      </c>
      <c r="Y215" t="s">
        <v>3518</v>
      </c>
      <c r="Z215" t="s">
        <v>3519</v>
      </c>
      <c r="AA215" t="s">
        <v>74</v>
      </c>
      <c r="AB215" t="s">
        <v>1549</v>
      </c>
      <c r="AC215" t="s">
        <v>74</v>
      </c>
      <c r="AD215" t="s">
        <v>74</v>
      </c>
      <c r="AE215" t="s">
        <v>74</v>
      </c>
      <c r="AF215" t="s">
        <v>74</v>
      </c>
      <c r="AG215">
        <v>19</v>
      </c>
      <c r="AH215">
        <v>18</v>
      </c>
      <c r="AI215">
        <v>27</v>
      </c>
      <c r="AJ215">
        <v>1</v>
      </c>
      <c r="AK215">
        <v>4</v>
      </c>
      <c r="AL215" t="s">
        <v>994</v>
      </c>
      <c r="AM215" t="s">
        <v>476</v>
      </c>
      <c r="AN215" t="s">
        <v>995</v>
      </c>
      <c r="AO215" t="s">
        <v>1520</v>
      </c>
      <c r="AP215" t="s">
        <v>74</v>
      </c>
      <c r="AQ215" t="s">
        <v>74</v>
      </c>
      <c r="AR215" t="s">
        <v>1522</v>
      </c>
      <c r="AS215" t="s">
        <v>1523</v>
      </c>
      <c r="AT215" t="s">
        <v>2635</v>
      </c>
      <c r="AU215">
        <v>2006</v>
      </c>
      <c r="AV215">
        <v>29</v>
      </c>
      <c r="AW215">
        <v>8</v>
      </c>
      <c r="AX215" t="s">
        <v>74</v>
      </c>
      <c r="AY215" t="s">
        <v>74</v>
      </c>
      <c r="AZ215" t="s">
        <v>74</v>
      </c>
      <c r="BA215" t="s">
        <v>74</v>
      </c>
      <c r="BB215">
        <v>633</v>
      </c>
      <c r="BC215">
        <v>639</v>
      </c>
      <c r="BD215" t="s">
        <v>74</v>
      </c>
      <c r="BE215" t="s">
        <v>3520</v>
      </c>
      <c r="BF215" t="str">
        <f>HYPERLINK("http://dx.doi.org/10.1007/s00300-005-0099-9","http://dx.doi.org/10.1007/s00300-005-0099-9")</f>
        <v>http://dx.doi.org/10.1007/s00300-005-0099-9</v>
      </c>
      <c r="BG215" t="s">
        <v>74</v>
      </c>
      <c r="BH215" t="s">
        <v>74</v>
      </c>
      <c r="BI215">
        <v>7</v>
      </c>
      <c r="BJ215" t="s">
        <v>1525</v>
      </c>
      <c r="BK215" t="s">
        <v>97</v>
      </c>
      <c r="BL215" t="s">
        <v>1526</v>
      </c>
      <c r="BM215" t="s">
        <v>3521</v>
      </c>
      <c r="BN215" t="s">
        <v>74</v>
      </c>
      <c r="BO215" t="s">
        <v>74</v>
      </c>
      <c r="BP215" t="s">
        <v>74</v>
      </c>
      <c r="BQ215" t="s">
        <v>74</v>
      </c>
      <c r="BR215" t="s">
        <v>100</v>
      </c>
      <c r="BS215" t="s">
        <v>3522</v>
      </c>
      <c r="BT215" t="str">
        <f>HYPERLINK("https%3A%2F%2Fwww.webofscience.com%2Fwos%2Fwoscc%2Ffull-record%2FWOS:000238715800001","View Full Record in Web of Science")</f>
        <v>View Full Record in Web of Science</v>
      </c>
    </row>
    <row r="216" spans="1:72" x14ac:dyDescent="0.15">
      <c r="A216" t="s">
        <v>72</v>
      </c>
      <c r="B216" t="s">
        <v>3523</v>
      </c>
      <c r="C216" t="s">
        <v>74</v>
      </c>
      <c r="D216" t="s">
        <v>74</v>
      </c>
      <c r="E216" t="s">
        <v>74</v>
      </c>
      <c r="F216" t="s">
        <v>3524</v>
      </c>
      <c r="G216" t="s">
        <v>74</v>
      </c>
      <c r="H216" t="s">
        <v>74</v>
      </c>
      <c r="I216" t="s">
        <v>3525</v>
      </c>
      <c r="J216" t="s">
        <v>1511</v>
      </c>
      <c r="K216" t="s">
        <v>74</v>
      </c>
      <c r="L216" t="s">
        <v>74</v>
      </c>
      <c r="M216" t="s">
        <v>78</v>
      </c>
      <c r="N216" t="s">
        <v>79</v>
      </c>
      <c r="O216" t="s">
        <v>74</v>
      </c>
      <c r="P216" t="s">
        <v>74</v>
      </c>
      <c r="Q216" t="s">
        <v>74</v>
      </c>
      <c r="R216" t="s">
        <v>74</v>
      </c>
      <c r="S216" t="s">
        <v>74</v>
      </c>
      <c r="T216" t="s">
        <v>74</v>
      </c>
      <c r="U216" t="s">
        <v>3526</v>
      </c>
      <c r="V216" t="s">
        <v>3527</v>
      </c>
      <c r="W216" t="s">
        <v>3528</v>
      </c>
      <c r="X216" t="s">
        <v>3529</v>
      </c>
      <c r="Y216" t="s">
        <v>3530</v>
      </c>
      <c r="Z216" t="s">
        <v>3531</v>
      </c>
      <c r="AA216" t="s">
        <v>3532</v>
      </c>
      <c r="AB216" t="s">
        <v>3533</v>
      </c>
      <c r="AC216" t="s">
        <v>74</v>
      </c>
      <c r="AD216" t="s">
        <v>74</v>
      </c>
      <c r="AE216" t="s">
        <v>74</v>
      </c>
      <c r="AF216" t="s">
        <v>74</v>
      </c>
      <c r="AG216">
        <v>51</v>
      </c>
      <c r="AH216">
        <v>74</v>
      </c>
      <c r="AI216">
        <v>86</v>
      </c>
      <c r="AJ216">
        <v>0</v>
      </c>
      <c r="AK216">
        <v>31</v>
      </c>
      <c r="AL216" t="s">
        <v>994</v>
      </c>
      <c r="AM216" t="s">
        <v>476</v>
      </c>
      <c r="AN216" t="s">
        <v>1551</v>
      </c>
      <c r="AO216" t="s">
        <v>1520</v>
      </c>
      <c r="AP216" t="s">
        <v>1521</v>
      </c>
      <c r="AQ216" t="s">
        <v>74</v>
      </c>
      <c r="AR216" t="s">
        <v>1522</v>
      </c>
      <c r="AS216" t="s">
        <v>1523</v>
      </c>
      <c r="AT216" t="s">
        <v>2635</v>
      </c>
      <c r="AU216">
        <v>2006</v>
      </c>
      <c r="AV216">
        <v>29</v>
      </c>
      <c r="AW216">
        <v>8</v>
      </c>
      <c r="AX216" t="s">
        <v>74</v>
      </c>
      <c r="AY216" t="s">
        <v>74</v>
      </c>
      <c r="AZ216" t="s">
        <v>74</v>
      </c>
      <c r="BA216" t="s">
        <v>74</v>
      </c>
      <c r="BB216">
        <v>643</v>
      </c>
      <c r="BC216">
        <v>651</v>
      </c>
      <c r="BD216" t="s">
        <v>74</v>
      </c>
      <c r="BE216" t="s">
        <v>3534</v>
      </c>
      <c r="BF216" t="str">
        <f>HYPERLINK("http://dx.doi.org/10.1007/s00300-005-0101-6","http://dx.doi.org/10.1007/s00300-005-0101-6")</f>
        <v>http://dx.doi.org/10.1007/s00300-005-0101-6</v>
      </c>
      <c r="BG216" t="s">
        <v>74</v>
      </c>
      <c r="BH216" t="s">
        <v>74</v>
      </c>
      <c r="BI216">
        <v>9</v>
      </c>
      <c r="BJ216" t="s">
        <v>1525</v>
      </c>
      <c r="BK216" t="s">
        <v>97</v>
      </c>
      <c r="BL216" t="s">
        <v>1526</v>
      </c>
      <c r="BM216" t="s">
        <v>3521</v>
      </c>
      <c r="BN216" t="s">
        <v>74</v>
      </c>
      <c r="BO216" t="s">
        <v>74</v>
      </c>
      <c r="BP216" t="s">
        <v>74</v>
      </c>
      <c r="BQ216" t="s">
        <v>74</v>
      </c>
      <c r="BR216" t="s">
        <v>100</v>
      </c>
      <c r="BS216" t="s">
        <v>3535</v>
      </c>
      <c r="BT216" t="str">
        <f>HYPERLINK("https%3A%2F%2Fwww.webofscience.com%2Fwos%2Fwoscc%2Ffull-record%2FWOS:000238715800003","View Full Record in Web of Science")</f>
        <v>View Full Record in Web of Science</v>
      </c>
    </row>
    <row r="217" spans="1:72" x14ac:dyDescent="0.15">
      <c r="A217" t="s">
        <v>72</v>
      </c>
      <c r="B217" t="s">
        <v>3536</v>
      </c>
      <c r="C217" t="s">
        <v>74</v>
      </c>
      <c r="D217" t="s">
        <v>74</v>
      </c>
      <c r="E217" t="s">
        <v>74</v>
      </c>
      <c r="F217" t="s">
        <v>3537</v>
      </c>
      <c r="G217" t="s">
        <v>74</v>
      </c>
      <c r="H217" t="s">
        <v>74</v>
      </c>
      <c r="I217" t="s">
        <v>3538</v>
      </c>
      <c r="J217" t="s">
        <v>1511</v>
      </c>
      <c r="K217" t="s">
        <v>74</v>
      </c>
      <c r="L217" t="s">
        <v>74</v>
      </c>
      <c r="M217" t="s">
        <v>78</v>
      </c>
      <c r="N217" t="s">
        <v>79</v>
      </c>
      <c r="O217" t="s">
        <v>74</v>
      </c>
      <c r="P217" t="s">
        <v>74</v>
      </c>
      <c r="Q217" t="s">
        <v>74</v>
      </c>
      <c r="R217" t="s">
        <v>74</v>
      </c>
      <c r="S217" t="s">
        <v>74</v>
      </c>
      <c r="T217" t="s">
        <v>74</v>
      </c>
      <c r="U217" t="s">
        <v>3539</v>
      </c>
      <c r="V217" t="s">
        <v>3540</v>
      </c>
      <c r="W217" t="s">
        <v>3541</v>
      </c>
      <c r="X217" t="s">
        <v>3542</v>
      </c>
      <c r="Y217" t="s">
        <v>3543</v>
      </c>
      <c r="Z217" t="s">
        <v>3544</v>
      </c>
      <c r="AA217" t="s">
        <v>74</v>
      </c>
      <c r="AB217" t="s">
        <v>74</v>
      </c>
      <c r="AC217" t="s">
        <v>74</v>
      </c>
      <c r="AD217" t="s">
        <v>74</v>
      </c>
      <c r="AE217" t="s">
        <v>74</v>
      </c>
      <c r="AF217" t="s">
        <v>74</v>
      </c>
      <c r="AG217">
        <v>76</v>
      </c>
      <c r="AH217">
        <v>9</v>
      </c>
      <c r="AI217">
        <v>11</v>
      </c>
      <c r="AJ217">
        <v>0</v>
      </c>
      <c r="AK217">
        <v>5</v>
      </c>
      <c r="AL217" t="s">
        <v>994</v>
      </c>
      <c r="AM217" t="s">
        <v>476</v>
      </c>
      <c r="AN217" t="s">
        <v>1551</v>
      </c>
      <c r="AO217" t="s">
        <v>1520</v>
      </c>
      <c r="AP217" t="s">
        <v>1521</v>
      </c>
      <c r="AQ217" t="s">
        <v>74</v>
      </c>
      <c r="AR217" t="s">
        <v>1522</v>
      </c>
      <c r="AS217" t="s">
        <v>1523</v>
      </c>
      <c r="AT217" t="s">
        <v>2635</v>
      </c>
      <c r="AU217">
        <v>2006</v>
      </c>
      <c r="AV217">
        <v>29</v>
      </c>
      <c r="AW217">
        <v>8</v>
      </c>
      <c r="AX217" t="s">
        <v>74</v>
      </c>
      <c r="AY217" t="s">
        <v>74</v>
      </c>
      <c r="AZ217" t="s">
        <v>74</v>
      </c>
      <c r="BA217" t="s">
        <v>74</v>
      </c>
      <c r="BB217">
        <v>668</v>
      </c>
      <c r="BC217">
        <v>680</v>
      </c>
      <c r="BD217" t="s">
        <v>74</v>
      </c>
      <c r="BE217" t="s">
        <v>3545</v>
      </c>
      <c r="BF217" t="str">
        <f>HYPERLINK("http://dx.doi.org/10.1007/s00300-005-0104-3","http://dx.doi.org/10.1007/s00300-005-0104-3")</f>
        <v>http://dx.doi.org/10.1007/s00300-005-0104-3</v>
      </c>
      <c r="BG217" t="s">
        <v>74</v>
      </c>
      <c r="BH217" t="s">
        <v>74</v>
      </c>
      <c r="BI217">
        <v>13</v>
      </c>
      <c r="BJ217" t="s">
        <v>1525</v>
      </c>
      <c r="BK217" t="s">
        <v>97</v>
      </c>
      <c r="BL217" t="s">
        <v>1526</v>
      </c>
      <c r="BM217" t="s">
        <v>3521</v>
      </c>
      <c r="BN217" t="s">
        <v>74</v>
      </c>
      <c r="BO217" t="s">
        <v>74</v>
      </c>
      <c r="BP217" t="s">
        <v>74</v>
      </c>
      <c r="BQ217" t="s">
        <v>74</v>
      </c>
      <c r="BR217" t="s">
        <v>100</v>
      </c>
      <c r="BS217" t="s">
        <v>3546</v>
      </c>
      <c r="BT217" t="str">
        <f>HYPERLINK("https%3A%2F%2Fwww.webofscience.com%2Fwos%2Fwoscc%2Ffull-record%2FWOS:000238715800006","View Full Record in Web of Science")</f>
        <v>View Full Record in Web of Science</v>
      </c>
    </row>
    <row r="218" spans="1:72" x14ac:dyDescent="0.15">
      <c r="A218" t="s">
        <v>72</v>
      </c>
      <c r="B218" t="s">
        <v>3547</v>
      </c>
      <c r="C218" t="s">
        <v>74</v>
      </c>
      <c r="D218" t="s">
        <v>74</v>
      </c>
      <c r="E218" t="s">
        <v>74</v>
      </c>
      <c r="F218" t="s">
        <v>3548</v>
      </c>
      <c r="G218" t="s">
        <v>74</v>
      </c>
      <c r="H218" t="s">
        <v>74</v>
      </c>
      <c r="I218" t="s">
        <v>3549</v>
      </c>
      <c r="J218" t="s">
        <v>1511</v>
      </c>
      <c r="K218" t="s">
        <v>74</v>
      </c>
      <c r="L218" t="s">
        <v>74</v>
      </c>
      <c r="M218" t="s">
        <v>78</v>
      </c>
      <c r="N218" t="s">
        <v>79</v>
      </c>
      <c r="O218" t="s">
        <v>74</v>
      </c>
      <c r="P218" t="s">
        <v>74</v>
      </c>
      <c r="Q218" t="s">
        <v>74</v>
      </c>
      <c r="R218" t="s">
        <v>74</v>
      </c>
      <c r="S218" t="s">
        <v>74</v>
      </c>
      <c r="T218" t="s">
        <v>74</v>
      </c>
      <c r="U218" t="s">
        <v>3550</v>
      </c>
      <c r="V218" t="s">
        <v>3551</v>
      </c>
      <c r="W218" t="s">
        <v>3552</v>
      </c>
      <c r="X218" t="s">
        <v>3553</v>
      </c>
      <c r="Y218" t="s">
        <v>3554</v>
      </c>
      <c r="Z218" t="s">
        <v>3555</v>
      </c>
      <c r="AA218" t="s">
        <v>3556</v>
      </c>
      <c r="AB218" t="s">
        <v>3557</v>
      </c>
      <c r="AC218" t="s">
        <v>1327</v>
      </c>
      <c r="AD218" t="s">
        <v>1328</v>
      </c>
      <c r="AE218" t="s">
        <v>74</v>
      </c>
      <c r="AF218" t="s">
        <v>74</v>
      </c>
      <c r="AG218">
        <v>36</v>
      </c>
      <c r="AH218">
        <v>73</v>
      </c>
      <c r="AI218">
        <v>79</v>
      </c>
      <c r="AJ218">
        <v>0</v>
      </c>
      <c r="AK218">
        <v>29</v>
      </c>
      <c r="AL218" t="s">
        <v>994</v>
      </c>
      <c r="AM218" t="s">
        <v>476</v>
      </c>
      <c r="AN218" t="s">
        <v>1551</v>
      </c>
      <c r="AO218" t="s">
        <v>1520</v>
      </c>
      <c r="AP218" t="s">
        <v>1521</v>
      </c>
      <c r="AQ218" t="s">
        <v>74</v>
      </c>
      <c r="AR218" t="s">
        <v>1522</v>
      </c>
      <c r="AS218" t="s">
        <v>1523</v>
      </c>
      <c r="AT218" t="s">
        <v>2635</v>
      </c>
      <c r="AU218">
        <v>2006</v>
      </c>
      <c r="AV218">
        <v>29</v>
      </c>
      <c r="AW218">
        <v>8</v>
      </c>
      <c r="AX218" t="s">
        <v>74</v>
      </c>
      <c r="AY218" t="s">
        <v>74</v>
      </c>
      <c r="AZ218" t="s">
        <v>74</v>
      </c>
      <c r="BA218" t="s">
        <v>74</v>
      </c>
      <c r="BB218">
        <v>688</v>
      </c>
      <c r="BC218">
        <v>693</v>
      </c>
      <c r="BD218" t="s">
        <v>74</v>
      </c>
      <c r="BE218" t="s">
        <v>3558</v>
      </c>
      <c r="BF218" t="str">
        <f>HYPERLINK("http://dx.doi.org/10.1007/s00300-005-0106-1","http://dx.doi.org/10.1007/s00300-005-0106-1")</f>
        <v>http://dx.doi.org/10.1007/s00300-005-0106-1</v>
      </c>
      <c r="BG218" t="s">
        <v>74</v>
      </c>
      <c r="BH218" t="s">
        <v>74</v>
      </c>
      <c r="BI218">
        <v>6</v>
      </c>
      <c r="BJ218" t="s">
        <v>1525</v>
      </c>
      <c r="BK218" t="s">
        <v>97</v>
      </c>
      <c r="BL218" t="s">
        <v>1526</v>
      </c>
      <c r="BM218" t="s">
        <v>3521</v>
      </c>
      <c r="BN218" t="s">
        <v>74</v>
      </c>
      <c r="BO218" t="s">
        <v>74</v>
      </c>
      <c r="BP218" t="s">
        <v>74</v>
      </c>
      <c r="BQ218" t="s">
        <v>74</v>
      </c>
      <c r="BR218" t="s">
        <v>100</v>
      </c>
      <c r="BS218" t="s">
        <v>3559</v>
      </c>
      <c r="BT218" t="str">
        <f>HYPERLINK("https%3A%2F%2Fwww.webofscience.com%2Fwos%2Fwoscc%2Ffull-record%2FWOS:000238715800008","View Full Record in Web of Science")</f>
        <v>View Full Record in Web of Science</v>
      </c>
    </row>
    <row r="219" spans="1:72" x14ac:dyDescent="0.15">
      <c r="A219" t="s">
        <v>72</v>
      </c>
      <c r="B219" t="s">
        <v>3560</v>
      </c>
      <c r="C219" t="s">
        <v>74</v>
      </c>
      <c r="D219" t="s">
        <v>74</v>
      </c>
      <c r="E219" t="s">
        <v>74</v>
      </c>
      <c r="F219" t="s">
        <v>3560</v>
      </c>
      <c r="G219" t="s">
        <v>74</v>
      </c>
      <c r="H219" t="s">
        <v>74</v>
      </c>
      <c r="I219" t="s">
        <v>3561</v>
      </c>
      <c r="J219" t="s">
        <v>1511</v>
      </c>
      <c r="K219" t="s">
        <v>74</v>
      </c>
      <c r="L219" t="s">
        <v>74</v>
      </c>
      <c r="M219" t="s">
        <v>78</v>
      </c>
      <c r="N219" t="s">
        <v>79</v>
      </c>
      <c r="O219" t="s">
        <v>74</v>
      </c>
      <c r="P219" t="s">
        <v>74</v>
      </c>
      <c r="Q219" t="s">
        <v>74</v>
      </c>
      <c r="R219" t="s">
        <v>74</v>
      </c>
      <c r="S219" t="s">
        <v>74</v>
      </c>
      <c r="T219" t="s">
        <v>74</v>
      </c>
      <c r="U219" t="s">
        <v>3562</v>
      </c>
      <c r="V219" t="s">
        <v>3563</v>
      </c>
      <c r="W219" t="s">
        <v>3564</v>
      </c>
      <c r="X219" t="s">
        <v>3565</v>
      </c>
      <c r="Y219" t="s">
        <v>2885</v>
      </c>
      <c r="Z219" t="s">
        <v>3566</v>
      </c>
      <c r="AA219" t="s">
        <v>74</v>
      </c>
      <c r="AB219" t="s">
        <v>3567</v>
      </c>
      <c r="AC219" t="s">
        <v>74</v>
      </c>
      <c r="AD219" t="s">
        <v>74</v>
      </c>
      <c r="AE219" t="s">
        <v>74</v>
      </c>
      <c r="AF219" t="s">
        <v>74</v>
      </c>
      <c r="AG219">
        <v>43</v>
      </c>
      <c r="AH219">
        <v>27</v>
      </c>
      <c r="AI219">
        <v>30</v>
      </c>
      <c r="AJ219">
        <v>0</v>
      </c>
      <c r="AK219">
        <v>3</v>
      </c>
      <c r="AL219" t="s">
        <v>994</v>
      </c>
      <c r="AM219" t="s">
        <v>476</v>
      </c>
      <c r="AN219" t="s">
        <v>995</v>
      </c>
      <c r="AO219" t="s">
        <v>1520</v>
      </c>
      <c r="AP219" t="s">
        <v>74</v>
      </c>
      <c r="AQ219" t="s">
        <v>74</v>
      </c>
      <c r="AR219" t="s">
        <v>1522</v>
      </c>
      <c r="AS219" t="s">
        <v>1523</v>
      </c>
      <c r="AT219" t="s">
        <v>2635</v>
      </c>
      <c r="AU219">
        <v>2006</v>
      </c>
      <c r="AV219">
        <v>29</v>
      </c>
      <c r="AW219">
        <v>8</v>
      </c>
      <c r="AX219" t="s">
        <v>74</v>
      </c>
      <c r="AY219" t="s">
        <v>74</v>
      </c>
      <c r="AZ219" t="s">
        <v>74</v>
      </c>
      <c r="BA219" t="s">
        <v>74</v>
      </c>
      <c r="BB219">
        <v>694</v>
      </c>
      <c r="BC219">
        <v>704</v>
      </c>
      <c r="BD219" t="s">
        <v>74</v>
      </c>
      <c r="BE219" t="s">
        <v>3568</v>
      </c>
      <c r="BF219" t="str">
        <f>HYPERLINK("http://dx.doi.org/10.1007/s00300-006-0107-8","http://dx.doi.org/10.1007/s00300-006-0107-8")</f>
        <v>http://dx.doi.org/10.1007/s00300-006-0107-8</v>
      </c>
      <c r="BG219" t="s">
        <v>74</v>
      </c>
      <c r="BH219" t="s">
        <v>74</v>
      </c>
      <c r="BI219">
        <v>11</v>
      </c>
      <c r="BJ219" t="s">
        <v>1525</v>
      </c>
      <c r="BK219" t="s">
        <v>97</v>
      </c>
      <c r="BL219" t="s">
        <v>1526</v>
      </c>
      <c r="BM219" t="s">
        <v>3521</v>
      </c>
      <c r="BN219" t="s">
        <v>74</v>
      </c>
      <c r="BO219" t="s">
        <v>74</v>
      </c>
      <c r="BP219" t="s">
        <v>74</v>
      </c>
      <c r="BQ219" t="s">
        <v>74</v>
      </c>
      <c r="BR219" t="s">
        <v>100</v>
      </c>
      <c r="BS219" t="s">
        <v>3569</v>
      </c>
      <c r="BT219" t="str">
        <f>HYPERLINK("https%3A%2F%2Fwww.webofscience.com%2Fwos%2Fwoscc%2Ffull-record%2FWOS:000238715800009","View Full Record in Web of Science")</f>
        <v>View Full Record in Web of Science</v>
      </c>
    </row>
    <row r="220" spans="1:72" x14ac:dyDescent="0.15">
      <c r="A220" t="s">
        <v>72</v>
      </c>
      <c r="B220" t="s">
        <v>3570</v>
      </c>
      <c r="C220" t="s">
        <v>74</v>
      </c>
      <c r="D220" t="s">
        <v>74</v>
      </c>
      <c r="E220" t="s">
        <v>74</v>
      </c>
      <c r="F220" t="s">
        <v>3571</v>
      </c>
      <c r="G220" t="s">
        <v>74</v>
      </c>
      <c r="H220" t="s">
        <v>74</v>
      </c>
      <c r="I220" t="s">
        <v>3572</v>
      </c>
      <c r="J220" t="s">
        <v>1511</v>
      </c>
      <c r="K220" t="s">
        <v>74</v>
      </c>
      <c r="L220" t="s">
        <v>74</v>
      </c>
      <c r="M220" t="s">
        <v>78</v>
      </c>
      <c r="N220" t="s">
        <v>79</v>
      </c>
      <c r="O220" t="s">
        <v>74</v>
      </c>
      <c r="P220" t="s">
        <v>74</v>
      </c>
      <c r="Q220" t="s">
        <v>74</v>
      </c>
      <c r="R220" t="s">
        <v>74</v>
      </c>
      <c r="S220" t="s">
        <v>74</v>
      </c>
      <c r="T220" t="s">
        <v>74</v>
      </c>
      <c r="U220" t="s">
        <v>74</v>
      </c>
      <c r="V220" t="s">
        <v>3573</v>
      </c>
      <c r="W220" t="s">
        <v>3574</v>
      </c>
      <c r="X220" t="s">
        <v>3575</v>
      </c>
      <c r="Y220" t="s">
        <v>3576</v>
      </c>
      <c r="Z220" t="s">
        <v>3577</v>
      </c>
      <c r="AA220" t="s">
        <v>74</v>
      </c>
      <c r="AB220" t="s">
        <v>74</v>
      </c>
      <c r="AC220" t="s">
        <v>74</v>
      </c>
      <c r="AD220" t="s">
        <v>74</v>
      </c>
      <c r="AE220" t="s">
        <v>74</v>
      </c>
      <c r="AF220" t="s">
        <v>74</v>
      </c>
      <c r="AG220">
        <v>21</v>
      </c>
      <c r="AH220">
        <v>11</v>
      </c>
      <c r="AI220">
        <v>15</v>
      </c>
      <c r="AJ220">
        <v>0</v>
      </c>
      <c r="AK220">
        <v>0</v>
      </c>
      <c r="AL220" t="s">
        <v>994</v>
      </c>
      <c r="AM220" t="s">
        <v>476</v>
      </c>
      <c r="AN220" t="s">
        <v>1519</v>
      </c>
      <c r="AO220" t="s">
        <v>1520</v>
      </c>
      <c r="AP220" t="s">
        <v>1521</v>
      </c>
      <c r="AQ220" t="s">
        <v>74</v>
      </c>
      <c r="AR220" t="s">
        <v>1522</v>
      </c>
      <c r="AS220" t="s">
        <v>1523</v>
      </c>
      <c r="AT220" t="s">
        <v>2635</v>
      </c>
      <c r="AU220">
        <v>2006</v>
      </c>
      <c r="AV220">
        <v>29</v>
      </c>
      <c r="AW220">
        <v>8</v>
      </c>
      <c r="AX220" t="s">
        <v>74</v>
      </c>
      <c r="AY220" t="s">
        <v>74</v>
      </c>
      <c r="AZ220" t="s">
        <v>74</v>
      </c>
      <c r="BA220" t="s">
        <v>74</v>
      </c>
      <c r="BB220">
        <v>705</v>
      </c>
      <c r="BC220">
        <v>712</v>
      </c>
      <c r="BD220" t="s">
        <v>74</v>
      </c>
      <c r="BE220" t="s">
        <v>3578</v>
      </c>
      <c r="BF220" t="str">
        <f>HYPERLINK("http://dx.doi.org/10.1007/s00300-006-0108-7","http://dx.doi.org/10.1007/s00300-006-0108-7")</f>
        <v>http://dx.doi.org/10.1007/s00300-006-0108-7</v>
      </c>
      <c r="BG220" t="s">
        <v>74</v>
      </c>
      <c r="BH220" t="s">
        <v>74</v>
      </c>
      <c r="BI220">
        <v>8</v>
      </c>
      <c r="BJ220" t="s">
        <v>1525</v>
      </c>
      <c r="BK220" t="s">
        <v>97</v>
      </c>
      <c r="BL220" t="s">
        <v>1526</v>
      </c>
      <c r="BM220" t="s">
        <v>3521</v>
      </c>
      <c r="BN220" t="s">
        <v>74</v>
      </c>
      <c r="BO220" t="s">
        <v>147</v>
      </c>
      <c r="BP220" t="s">
        <v>74</v>
      </c>
      <c r="BQ220" t="s">
        <v>74</v>
      </c>
      <c r="BR220" t="s">
        <v>100</v>
      </c>
      <c r="BS220" t="s">
        <v>3579</v>
      </c>
      <c r="BT220" t="str">
        <f>HYPERLINK("https%3A%2F%2Fwww.webofscience.com%2Fwos%2Fwoscc%2Ffull-record%2FWOS:000238715800010","View Full Record in Web of Science")</f>
        <v>View Full Record in Web of Science</v>
      </c>
    </row>
    <row r="221" spans="1:72" x14ac:dyDescent="0.15">
      <c r="A221" t="s">
        <v>72</v>
      </c>
      <c r="B221" t="s">
        <v>3580</v>
      </c>
      <c r="C221" t="s">
        <v>74</v>
      </c>
      <c r="D221" t="s">
        <v>74</v>
      </c>
      <c r="E221" t="s">
        <v>74</v>
      </c>
      <c r="F221" t="s">
        <v>3581</v>
      </c>
      <c r="G221" t="s">
        <v>74</v>
      </c>
      <c r="H221" t="s">
        <v>74</v>
      </c>
      <c r="I221" t="s">
        <v>3582</v>
      </c>
      <c r="J221" t="s">
        <v>1511</v>
      </c>
      <c r="K221" t="s">
        <v>74</v>
      </c>
      <c r="L221" t="s">
        <v>74</v>
      </c>
      <c r="M221" t="s">
        <v>78</v>
      </c>
      <c r="N221" t="s">
        <v>79</v>
      </c>
      <c r="O221" t="s">
        <v>74</v>
      </c>
      <c r="P221" t="s">
        <v>74</v>
      </c>
      <c r="Q221" t="s">
        <v>74</v>
      </c>
      <c r="R221" t="s">
        <v>74</v>
      </c>
      <c r="S221" t="s">
        <v>74</v>
      </c>
      <c r="T221" t="s">
        <v>74</v>
      </c>
      <c r="U221" t="s">
        <v>3583</v>
      </c>
      <c r="V221" t="s">
        <v>3584</v>
      </c>
      <c r="W221" t="s">
        <v>3585</v>
      </c>
      <c r="X221" t="s">
        <v>3586</v>
      </c>
      <c r="Y221" t="s">
        <v>3587</v>
      </c>
      <c r="Z221" t="s">
        <v>3588</v>
      </c>
      <c r="AA221" t="s">
        <v>74</v>
      </c>
      <c r="AB221" t="s">
        <v>74</v>
      </c>
      <c r="AC221" t="s">
        <v>74</v>
      </c>
      <c r="AD221" t="s">
        <v>74</v>
      </c>
      <c r="AE221" t="s">
        <v>74</v>
      </c>
      <c r="AF221" t="s">
        <v>74</v>
      </c>
      <c r="AG221">
        <v>14</v>
      </c>
      <c r="AH221">
        <v>31</v>
      </c>
      <c r="AI221">
        <v>34</v>
      </c>
      <c r="AJ221">
        <v>0</v>
      </c>
      <c r="AK221">
        <v>17</v>
      </c>
      <c r="AL221" t="s">
        <v>994</v>
      </c>
      <c r="AM221" t="s">
        <v>476</v>
      </c>
      <c r="AN221" t="s">
        <v>1519</v>
      </c>
      <c r="AO221" t="s">
        <v>1520</v>
      </c>
      <c r="AP221" t="s">
        <v>1521</v>
      </c>
      <c r="AQ221" t="s">
        <v>74</v>
      </c>
      <c r="AR221" t="s">
        <v>1522</v>
      </c>
      <c r="AS221" t="s">
        <v>1523</v>
      </c>
      <c r="AT221" t="s">
        <v>2635</v>
      </c>
      <c r="AU221">
        <v>2006</v>
      </c>
      <c r="AV221">
        <v>29</v>
      </c>
      <c r="AW221">
        <v>8</v>
      </c>
      <c r="AX221" t="s">
        <v>74</v>
      </c>
      <c r="AY221" t="s">
        <v>74</v>
      </c>
      <c r="AZ221" t="s">
        <v>74</v>
      </c>
      <c r="BA221" t="s">
        <v>74</v>
      </c>
      <c r="BB221">
        <v>717</v>
      </c>
      <c r="BC221">
        <v>720</v>
      </c>
      <c r="BD221" t="s">
        <v>74</v>
      </c>
      <c r="BE221" t="s">
        <v>3589</v>
      </c>
      <c r="BF221" t="str">
        <f>HYPERLINK("http://dx.doi.org/10.1007/s00300-006-0137-2","http://dx.doi.org/10.1007/s00300-006-0137-2")</f>
        <v>http://dx.doi.org/10.1007/s00300-006-0137-2</v>
      </c>
      <c r="BG221" t="s">
        <v>74</v>
      </c>
      <c r="BH221" t="s">
        <v>74</v>
      </c>
      <c r="BI221">
        <v>4</v>
      </c>
      <c r="BJ221" t="s">
        <v>1525</v>
      </c>
      <c r="BK221" t="s">
        <v>97</v>
      </c>
      <c r="BL221" t="s">
        <v>1526</v>
      </c>
      <c r="BM221" t="s">
        <v>3521</v>
      </c>
      <c r="BN221" t="s">
        <v>74</v>
      </c>
      <c r="BO221" t="s">
        <v>74</v>
      </c>
      <c r="BP221" t="s">
        <v>74</v>
      </c>
      <c r="BQ221" t="s">
        <v>74</v>
      </c>
      <c r="BR221" t="s">
        <v>100</v>
      </c>
      <c r="BS221" t="s">
        <v>3590</v>
      </c>
      <c r="BT221" t="str">
        <f>HYPERLINK("https%3A%2F%2Fwww.webofscience.com%2Fwos%2Fwoscc%2Ffull-record%2FWOS:000238715800012","View Full Record in Web of Science")</f>
        <v>View Full Record in Web of Science</v>
      </c>
    </row>
    <row r="222" spans="1:72" x14ac:dyDescent="0.15">
      <c r="A222" t="s">
        <v>72</v>
      </c>
      <c r="B222" t="s">
        <v>3591</v>
      </c>
      <c r="C222" t="s">
        <v>74</v>
      </c>
      <c r="D222" t="s">
        <v>74</v>
      </c>
      <c r="E222" t="s">
        <v>74</v>
      </c>
      <c r="F222" t="s">
        <v>3592</v>
      </c>
      <c r="G222" t="s">
        <v>74</v>
      </c>
      <c r="H222" t="s">
        <v>74</v>
      </c>
      <c r="I222" t="s">
        <v>3593</v>
      </c>
      <c r="J222" t="s">
        <v>3594</v>
      </c>
      <c r="K222" t="s">
        <v>74</v>
      </c>
      <c r="L222" t="s">
        <v>74</v>
      </c>
      <c r="M222" t="s">
        <v>78</v>
      </c>
      <c r="N222" t="s">
        <v>79</v>
      </c>
      <c r="O222" t="s">
        <v>74</v>
      </c>
      <c r="P222" t="s">
        <v>74</v>
      </c>
      <c r="Q222" t="s">
        <v>74</v>
      </c>
      <c r="R222" t="s">
        <v>74</v>
      </c>
      <c r="S222" t="s">
        <v>74</v>
      </c>
      <c r="T222" t="s">
        <v>74</v>
      </c>
      <c r="U222" t="s">
        <v>74</v>
      </c>
      <c r="V222" t="s">
        <v>3595</v>
      </c>
      <c r="W222" t="s">
        <v>3596</v>
      </c>
      <c r="X222" t="s">
        <v>3597</v>
      </c>
      <c r="Y222" t="s">
        <v>3598</v>
      </c>
      <c r="Z222" t="s">
        <v>74</v>
      </c>
      <c r="AA222" t="s">
        <v>74</v>
      </c>
      <c r="AB222" t="s">
        <v>74</v>
      </c>
      <c r="AC222" t="s">
        <v>74</v>
      </c>
      <c r="AD222" t="s">
        <v>74</v>
      </c>
      <c r="AE222" t="s">
        <v>74</v>
      </c>
      <c r="AF222" t="s">
        <v>74</v>
      </c>
      <c r="AG222">
        <v>12</v>
      </c>
      <c r="AH222">
        <v>19</v>
      </c>
      <c r="AI222">
        <v>21</v>
      </c>
      <c r="AJ222">
        <v>0</v>
      </c>
      <c r="AK222">
        <v>12</v>
      </c>
      <c r="AL222" t="s">
        <v>1139</v>
      </c>
      <c r="AM222" t="s">
        <v>476</v>
      </c>
      <c r="AN222" t="s">
        <v>1140</v>
      </c>
      <c r="AO222" t="s">
        <v>3599</v>
      </c>
      <c r="AP222" t="s">
        <v>74</v>
      </c>
      <c r="AQ222" t="s">
        <v>74</v>
      </c>
      <c r="AR222" t="s">
        <v>3600</v>
      </c>
      <c r="AS222" t="s">
        <v>3601</v>
      </c>
      <c r="AT222" t="s">
        <v>2635</v>
      </c>
      <c r="AU222">
        <v>2006</v>
      </c>
      <c r="AV222">
        <v>42</v>
      </c>
      <c r="AW222">
        <v>222</v>
      </c>
      <c r="AX222" t="s">
        <v>74</v>
      </c>
      <c r="AY222" t="s">
        <v>74</v>
      </c>
      <c r="AZ222" t="s">
        <v>74</v>
      </c>
      <c r="BA222" t="s">
        <v>74</v>
      </c>
      <c r="BB222">
        <v>217</v>
      </c>
      <c r="BC222">
        <v>227</v>
      </c>
      <c r="BD222" t="s">
        <v>74</v>
      </c>
      <c r="BE222" t="s">
        <v>3602</v>
      </c>
      <c r="BF222" t="str">
        <f>HYPERLINK("http://dx.doi.org/10.1017/S003224740600533X","http://dx.doi.org/10.1017/S003224740600533X")</f>
        <v>http://dx.doi.org/10.1017/S003224740600533X</v>
      </c>
      <c r="BG222" t="s">
        <v>74</v>
      </c>
      <c r="BH222" t="s">
        <v>74</v>
      </c>
      <c r="BI222">
        <v>11</v>
      </c>
      <c r="BJ222" t="s">
        <v>3603</v>
      </c>
      <c r="BK222" t="s">
        <v>97</v>
      </c>
      <c r="BL222" t="s">
        <v>420</v>
      </c>
      <c r="BM222" t="s">
        <v>3604</v>
      </c>
      <c r="BN222" t="s">
        <v>74</v>
      </c>
      <c r="BO222" t="s">
        <v>74</v>
      </c>
      <c r="BP222" t="s">
        <v>74</v>
      </c>
      <c r="BQ222" t="s">
        <v>74</v>
      </c>
      <c r="BR222" t="s">
        <v>100</v>
      </c>
      <c r="BS222" t="s">
        <v>3605</v>
      </c>
      <c r="BT222" t="str">
        <f>HYPERLINK("https%3A%2F%2Fwww.webofscience.com%2Fwos%2Fwoscc%2Ffull-record%2FWOS:000240157600004","View Full Record in Web of Science")</f>
        <v>View Full Record in Web of Science</v>
      </c>
    </row>
    <row r="223" spans="1:72" x14ac:dyDescent="0.15">
      <c r="A223" t="s">
        <v>72</v>
      </c>
      <c r="B223" t="s">
        <v>3606</v>
      </c>
      <c r="C223" t="s">
        <v>74</v>
      </c>
      <c r="D223" t="s">
        <v>74</v>
      </c>
      <c r="E223" t="s">
        <v>74</v>
      </c>
      <c r="F223" t="s">
        <v>3607</v>
      </c>
      <c r="G223" t="s">
        <v>74</v>
      </c>
      <c r="H223" t="s">
        <v>74</v>
      </c>
      <c r="I223" t="s">
        <v>3608</v>
      </c>
      <c r="J223" t="s">
        <v>3594</v>
      </c>
      <c r="K223" t="s">
        <v>74</v>
      </c>
      <c r="L223" t="s">
        <v>74</v>
      </c>
      <c r="M223" t="s">
        <v>78</v>
      </c>
      <c r="N223" t="s">
        <v>552</v>
      </c>
      <c r="O223" t="s">
        <v>74</v>
      </c>
      <c r="P223" t="s">
        <v>74</v>
      </c>
      <c r="Q223" t="s">
        <v>74</v>
      </c>
      <c r="R223" t="s">
        <v>74</v>
      </c>
      <c r="S223" t="s">
        <v>74</v>
      </c>
      <c r="T223" t="s">
        <v>74</v>
      </c>
      <c r="U223" t="s">
        <v>74</v>
      </c>
      <c r="V223" t="s">
        <v>3609</v>
      </c>
      <c r="W223" t="s">
        <v>74</v>
      </c>
      <c r="X223" t="s">
        <v>74</v>
      </c>
      <c r="Y223" t="s">
        <v>3610</v>
      </c>
      <c r="Z223" t="s">
        <v>74</v>
      </c>
      <c r="AA223" t="s">
        <v>74</v>
      </c>
      <c r="AB223" t="s">
        <v>74</v>
      </c>
      <c r="AC223" t="s">
        <v>74</v>
      </c>
      <c r="AD223" t="s">
        <v>74</v>
      </c>
      <c r="AE223" t="s">
        <v>74</v>
      </c>
      <c r="AF223" t="s">
        <v>74</v>
      </c>
      <c r="AG223">
        <v>2</v>
      </c>
      <c r="AH223">
        <v>1</v>
      </c>
      <c r="AI223">
        <v>1</v>
      </c>
      <c r="AJ223">
        <v>0</v>
      </c>
      <c r="AK223">
        <v>1</v>
      </c>
      <c r="AL223" t="s">
        <v>1139</v>
      </c>
      <c r="AM223" t="s">
        <v>476</v>
      </c>
      <c r="AN223" t="s">
        <v>1140</v>
      </c>
      <c r="AO223" t="s">
        <v>3599</v>
      </c>
      <c r="AP223" t="s">
        <v>74</v>
      </c>
      <c r="AQ223" t="s">
        <v>74</v>
      </c>
      <c r="AR223" t="s">
        <v>3600</v>
      </c>
      <c r="AS223" t="s">
        <v>3601</v>
      </c>
      <c r="AT223" t="s">
        <v>2635</v>
      </c>
      <c r="AU223">
        <v>2006</v>
      </c>
      <c r="AV223">
        <v>42</v>
      </c>
      <c r="AW223">
        <v>222</v>
      </c>
      <c r="AX223" t="s">
        <v>74</v>
      </c>
      <c r="AY223" t="s">
        <v>74</v>
      </c>
      <c r="AZ223" t="s">
        <v>74</v>
      </c>
      <c r="BA223" t="s">
        <v>74</v>
      </c>
      <c r="BB223">
        <v>260</v>
      </c>
      <c r="BC223">
        <v>261</v>
      </c>
      <c r="BD223" t="s">
        <v>74</v>
      </c>
      <c r="BE223" t="s">
        <v>3611</v>
      </c>
      <c r="BF223" t="str">
        <f>HYPERLINK("http://dx.doi.org/10.1017/S0032247406215559","http://dx.doi.org/10.1017/S0032247406215559")</f>
        <v>http://dx.doi.org/10.1017/S0032247406215559</v>
      </c>
      <c r="BG223" t="s">
        <v>74</v>
      </c>
      <c r="BH223" t="s">
        <v>74</v>
      </c>
      <c r="BI223">
        <v>2</v>
      </c>
      <c r="BJ223" t="s">
        <v>3603</v>
      </c>
      <c r="BK223" t="s">
        <v>97</v>
      </c>
      <c r="BL223" t="s">
        <v>420</v>
      </c>
      <c r="BM223" t="s">
        <v>3604</v>
      </c>
      <c r="BN223" t="s">
        <v>74</v>
      </c>
      <c r="BO223" t="s">
        <v>74</v>
      </c>
      <c r="BP223" t="s">
        <v>74</v>
      </c>
      <c r="BQ223" t="s">
        <v>74</v>
      </c>
      <c r="BR223" t="s">
        <v>100</v>
      </c>
      <c r="BS223" t="s">
        <v>3612</v>
      </c>
      <c r="BT223" t="str">
        <f>HYPERLINK("https%3A%2F%2Fwww.webofscience.com%2Fwos%2Fwoscc%2Ffull-record%2FWOS:000240157600008","View Full Record in Web of Science")</f>
        <v>View Full Record in Web of Science</v>
      </c>
    </row>
    <row r="224" spans="1:72" x14ac:dyDescent="0.15">
      <c r="A224" t="s">
        <v>72</v>
      </c>
      <c r="B224" t="s">
        <v>3613</v>
      </c>
      <c r="C224" t="s">
        <v>74</v>
      </c>
      <c r="D224" t="s">
        <v>74</v>
      </c>
      <c r="E224" t="s">
        <v>74</v>
      </c>
      <c r="F224" t="s">
        <v>3614</v>
      </c>
      <c r="G224" t="s">
        <v>74</v>
      </c>
      <c r="H224" t="s">
        <v>74</v>
      </c>
      <c r="I224" t="s">
        <v>3615</v>
      </c>
      <c r="J224" t="s">
        <v>3594</v>
      </c>
      <c r="K224" t="s">
        <v>74</v>
      </c>
      <c r="L224" t="s">
        <v>74</v>
      </c>
      <c r="M224" t="s">
        <v>78</v>
      </c>
      <c r="N224" t="s">
        <v>552</v>
      </c>
      <c r="O224" t="s">
        <v>74</v>
      </c>
      <c r="P224" t="s">
        <v>74</v>
      </c>
      <c r="Q224" t="s">
        <v>74</v>
      </c>
      <c r="R224" t="s">
        <v>74</v>
      </c>
      <c r="S224" t="s">
        <v>74</v>
      </c>
      <c r="T224" t="s">
        <v>74</v>
      </c>
      <c r="U224" t="s">
        <v>74</v>
      </c>
      <c r="V224" t="s">
        <v>3616</v>
      </c>
      <c r="W224" t="s">
        <v>3617</v>
      </c>
      <c r="X224" t="s">
        <v>74</v>
      </c>
      <c r="Y224" t="s">
        <v>3618</v>
      </c>
      <c r="Z224" t="s">
        <v>3619</v>
      </c>
      <c r="AA224" t="s">
        <v>74</v>
      </c>
      <c r="AB224" t="s">
        <v>74</v>
      </c>
      <c r="AC224" t="s">
        <v>74</v>
      </c>
      <c r="AD224" t="s">
        <v>74</v>
      </c>
      <c r="AE224" t="s">
        <v>74</v>
      </c>
      <c r="AF224" t="s">
        <v>74</v>
      </c>
      <c r="AG224">
        <v>0</v>
      </c>
      <c r="AH224">
        <v>0</v>
      </c>
      <c r="AI224">
        <v>0</v>
      </c>
      <c r="AJ224">
        <v>0</v>
      </c>
      <c r="AK224">
        <v>0</v>
      </c>
      <c r="AL224" t="s">
        <v>1139</v>
      </c>
      <c r="AM224" t="s">
        <v>476</v>
      </c>
      <c r="AN224" t="s">
        <v>1140</v>
      </c>
      <c r="AO224" t="s">
        <v>3599</v>
      </c>
      <c r="AP224" t="s">
        <v>74</v>
      </c>
      <c r="AQ224" t="s">
        <v>74</v>
      </c>
      <c r="AR224" t="s">
        <v>3600</v>
      </c>
      <c r="AS224" t="s">
        <v>3601</v>
      </c>
      <c r="AT224" t="s">
        <v>2635</v>
      </c>
      <c r="AU224">
        <v>2006</v>
      </c>
      <c r="AV224">
        <v>42</v>
      </c>
      <c r="AW224">
        <v>222</v>
      </c>
      <c r="AX224" t="s">
        <v>74</v>
      </c>
      <c r="AY224" t="s">
        <v>74</v>
      </c>
      <c r="AZ224" t="s">
        <v>74</v>
      </c>
      <c r="BA224" t="s">
        <v>74</v>
      </c>
      <c r="BB224">
        <v>261</v>
      </c>
      <c r="BC224">
        <v>262</v>
      </c>
      <c r="BD224" t="s">
        <v>74</v>
      </c>
      <c r="BE224" t="s">
        <v>3620</v>
      </c>
      <c r="BF224" t="str">
        <f>HYPERLINK("http://dx.doi.org/10.1017/S0032247406225555","http://dx.doi.org/10.1017/S0032247406225555")</f>
        <v>http://dx.doi.org/10.1017/S0032247406225555</v>
      </c>
      <c r="BG224" t="s">
        <v>74</v>
      </c>
      <c r="BH224" t="s">
        <v>74</v>
      </c>
      <c r="BI224">
        <v>2</v>
      </c>
      <c r="BJ224" t="s">
        <v>3603</v>
      </c>
      <c r="BK224" t="s">
        <v>97</v>
      </c>
      <c r="BL224" t="s">
        <v>420</v>
      </c>
      <c r="BM224" t="s">
        <v>3604</v>
      </c>
      <c r="BN224" t="s">
        <v>74</v>
      </c>
      <c r="BO224" t="s">
        <v>74</v>
      </c>
      <c r="BP224" t="s">
        <v>74</v>
      </c>
      <c r="BQ224" t="s">
        <v>74</v>
      </c>
      <c r="BR224" t="s">
        <v>100</v>
      </c>
      <c r="BS224" t="s">
        <v>3621</v>
      </c>
      <c r="BT224" t="str">
        <f>HYPERLINK("https%3A%2F%2Fwww.webofscience.com%2Fwos%2Fwoscc%2Ffull-record%2FWOS:000240157600009","View Full Record in Web of Science")</f>
        <v>View Full Record in Web of Science</v>
      </c>
    </row>
    <row r="225" spans="1:72" x14ac:dyDescent="0.15">
      <c r="A225" t="s">
        <v>72</v>
      </c>
      <c r="B225" t="s">
        <v>3622</v>
      </c>
      <c r="C225" t="s">
        <v>74</v>
      </c>
      <c r="D225" t="s">
        <v>74</v>
      </c>
      <c r="E225" t="s">
        <v>74</v>
      </c>
      <c r="F225" t="s">
        <v>3623</v>
      </c>
      <c r="G225" t="s">
        <v>74</v>
      </c>
      <c r="H225" t="s">
        <v>74</v>
      </c>
      <c r="I225" t="s">
        <v>3624</v>
      </c>
      <c r="J225" t="s">
        <v>1622</v>
      </c>
      <c r="K225" t="s">
        <v>74</v>
      </c>
      <c r="L225" t="s">
        <v>74</v>
      </c>
      <c r="M225" t="s">
        <v>78</v>
      </c>
      <c r="N225" t="s">
        <v>79</v>
      </c>
      <c r="O225" t="s">
        <v>74</v>
      </c>
      <c r="P225" t="s">
        <v>74</v>
      </c>
      <c r="Q225" t="s">
        <v>74</v>
      </c>
      <c r="R225" t="s">
        <v>74</v>
      </c>
      <c r="S225" t="s">
        <v>74</v>
      </c>
      <c r="T225" t="s">
        <v>74</v>
      </c>
      <c r="U225" t="s">
        <v>3625</v>
      </c>
      <c r="V225" t="s">
        <v>3626</v>
      </c>
      <c r="W225" t="s">
        <v>3627</v>
      </c>
      <c r="X225" t="s">
        <v>3628</v>
      </c>
      <c r="Y225" t="s">
        <v>3629</v>
      </c>
      <c r="Z225" t="s">
        <v>3630</v>
      </c>
      <c r="AA225" t="s">
        <v>3631</v>
      </c>
      <c r="AB225" t="s">
        <v>3632</v>
      </c>
      <c r="AC225" t="s">
        <v>74</v>
      </c>
      <c r="AD225" t="s">
        <v>74</v>
      </c>
      <c r="AE225" t="s">
        <v>74</v>
      </c>
      <c r="AF225" t="s">
        <v>74</v>
      </c>
      <c r="AG225">
        <v>27</v>
      </c>
      <c r="AH225">
        <v>32</v>
      </c>
      <c r="AI225">
        <v>33</v>
      </c>
      <c r="AJ225">
        <v>0</v>
      </c>
      <c r="AK225">
        <v>3</v>
      </c>
      <c r="AL225" t="s">
        <v>1629</v>
      </c>
      <c r="AM225" t="s">
        <v>1630</v>
      </c>
      <c r="AN225" t="s">
        <v>1631</v>
      </c>
      <c r="AO225" t="s">
        <v>1632</v>
      </c>
      <c r="AP225" t="s">
        <v>1633</v>
      </c>
      <c r="AQ225" t="s">
        <v>74</v>
      </c>
      <c r="AR225" t="s">
        <v>1634</v>
      </c>
      <c r="AS225" t="s">
        <v>1635</v>
      </c>
      <c r="AT225" t="s">
        <v>2635</v>
      </c>
      <c r="AU225">
        <v>2006</v>
      </c>
      <c r="AV225">
        <v>118</v>
      </c>
      <c r="AW225">
        <v>845</v>
      </c>
      <c r="AX225" t="s">
        <v>74</v>
      </c>
      <c r="AY225" t="s">
        <v>74</v>
      </c>
      <c r="AZ225" t="s">
        <v>74</v>
      </c>
      <c r="BA225" t="s">
        <v>74</v>
      </c>
      <c r="BB225">
        <v>1048</v>
      </c>
      <c r="BC225">
        <v>1065</v>
      </c>
      <c r="BD225" t="s">
        <v>74</v>
      </c>
      <c r="BE225" t="s">
        <v>3633</v>
      </c>
      <c r="BF225" t="str">
        <f>HYPERLINK("http://dx.doi.org/10.1086/505891","http://dx.doi.org/10.1086/505891")</f>
        <v>http://dx.doi.org/10.1086/505891</v>
      </c>
      <c r="BG225" t="s">
        <v>74</v>
      </c>
      <c r="BH225" t="s">
        <v>74</v>
      </c>
      <c r="BI225">
        <v>18</v>
      </c>
      <c r="BJ225" t="s">
        <v>1637</v>
      </c>
      <c r="BK225" t="s">
        <v>97</v>
      </c>
      <c r="BL225" t="s">
        <v>1637</v>
      </c>
      <c r="BM225" t="s">
        <v>3634</v>
      </c>
      <c r="BN225" t="s">
        <v>74</v>
      </c>
      <c r="BO225" t="s">
        <v>227</v>
      </c>
      <c r="BP225" t="s">
        <v>74</v>
      </c>
      <c r="BQ225" t="s">
        <v>74</v>
      </c>
      <c r="BR225" t="s">
        <v>100</v>
      </c>
      <c r="BS225" t="s">
        <v>3635</v>
      </c>
      <c r="BT225" t="str">
        <f>HYPERLINK("https%3A%2F%2Fwww.webofscience.com%2Fwos%2Fwoscc%2Ffull-record%2FWOS:000239389800002","View Full Record in Web of Science")</f>
        <v>View Full Record in Web of Science</v>
      </c>
    </row>
    <row r="226" spans="1:72" x14ac:dyDescent="0.15">
      <c r="A226" t="s">
        <v>72</v>
      </c>
      <c r="B226" t="s">
        <v>3636</v>
      </c>
      <c r="C226" t="s">
        <v>74</v>
      </c>
      <c r="D226" t="s">
        <v>74</v>
      </c>
      <c r="E226" t="s">
        <v>74</v>
      </c>
      <c r="F226" t="s">
        <v>3637</v>
      </c>
      <c r="G226" t="s">
        <v>74</v>
      </c>
      <c r="H226" t="s">
        <v>74</v>
      </c>
      <c r="I226" t="s">
        <v>3638</v>
      </c>
      <c r="J226" t="s">
        <v>3639</v>
      </c>
      <c r="K226" t="s">
        <v>74</v>
      </c>
      <c r="L226" t="s">
        <v>74</v>
      </c>
      <c r="M226" t="s">
        <v>78</v>
      </c>
      <c r="N226" t="s">
        <v>79</v>
      </c>
      <c r="O226" t="s">
        <v>74</v>
      </c>
      <c r="P226" t="s">
        <v>74</v>
      </c>
      <c r="Q226" t="s">
        <v>74</v>
      </c>
      <c r="R226" t="s">
        <v>74</v>
      </c>
      <c r="S226" t="s">
        <v>74</v>
      </c>
      <c r="T226" t="s">
        <v>3640</v>
      </c>
      <c r="U226" t="s">
        <v>3641</v>
      </c>
      <c r="V226" t="s">
        <v>3642</v>
      </c>
      <c r="W226" t="s">
        <v>3643</v>
      </c>
      <c r="X226" t="s">
        <v>3644</v>
      </c>
      <c r="Y226" t="s">
        <v>3645</v>
      </c>
      <c r="Z226" t="s">
        <v>3646</v>
      </c>
      <c r="AA226" t="s">
        <v>3647</v>
      </c>
      <c r="AB226" t="s">
        <v>3648</v>
      </c>
      <c r="AC226" t="s">
        <v>74</v>
      </c>
      <c r="AD226" t="s">
        <v>74</v>
      </c>
      <c r="AE226" t="s">
        <v>74</v>
      </c>
      <c r="AF226" t="s">
        <v>74</v>
      </c>
      <c r="AG226">
        <v>44</v>
      </c>
      <c r="AH226">
        <v>6</v>
      </c>
      <c r="AI226">
        <v>6</v>
      </c>
      <c r="AJ226">
        <v>0</v>
      </c>
      <c r="AK226">
        <v>2</v>
      </c>
      <c r="AL226" t="s">
        <v>115</v>
      </c>
      <c r="AM226" t="s">
        <v>116</v>
      </c>
      <c r="AN226" t="s">
        <v>117</v>
      </c>
      <c r="AO226" t="s">
        <v>3649</v>
      </c>
      <c r="AP226" t="s">
        <v>3650</v>
      </c>
      <c r="AQ226" t="s">
        <v>74</v>
      </c>
      <c r="AR226" t="s">
        <v>3651</v>
      </c>
      <c r="AS226" t="s">
        <v>3652</v>
      </c>
      <c r="AT226" t="s">
        <v>2635</v>
      </c>
      <c r="AU226">
        <v>2006</v>
      </c>
      <c r="AV226">
        <v>132</v>
      </c>
      <c r="AW226">
        <v>619</v>
      </c>
      <c r="AX226" t="s">
        <v>3653</v>
      </c>
      <c r="AY226" t="s">
        <v>74</v>
      </c>
      <c r="AZ226" t="s">
        <v>74</v>
      </c>
      <c r="BA226" t="s">
        <v>74</v>
      </c>
      <c r="BB226">
        <v>1969</v>
      </c>
      <c r="BC226">
        <v>1983</v>
      </c>
      <c r="BD226" t="s">
        <v>74</v>
      </c>
      <c r="BE226" t="s">
        <v>3654</v>
      </c>
      <c r="BF226" t="str">
        <f>HYPERLINK("http://dx.doi.org/10.1256/qj.05.136","http://dx.doi.org/10.1256/qj.05.136")</f>
        <v>http://dx.doi.org/10.1256/qj.05.136</v>
      </c>
      <c r="BG226" t="s">
        <v>74</v>
      </c>
      <c r="BH226" t="s">
        <v>74</v>
      </c>
      <c r="BI226">
        <v>15</v>
      </c>
      <c r="BJ226" t="s">
        <v>869</v>
      </c>
      <c r="BK226" t="s">
        <v>97</v>
      </c>
      <c r="BL226" t="s">
        <v>869</v>
      </c>
      <c r="BM226" t="s">
        <v>3655</v>
      </c>
      <c r="BN226" t="s">
        <v>74</v>
      </c>
      <c r="BO226" t="s">
        <v>74</v>
      </c>
      <c r="BP226" t="s">
        <v>74</v>
      </c>
      <c r="BQ226" t="s">
        <v>74</v>
      </c>
      <c r="BR226" t="s">
        <v>100</v>
      </c>
      <c r="BS226" t="s">
        <v>3656</v>
      </c>
      <c r="BT226" t="str">
        <f>HYPERLINK("https%3A%2F%2Fwww.webofscience.com%2Fwos%2Fwoscc%2Ffull-record%2FWOS:000241545700010","View Full Record in Web of Science")</f>
        <v>View Full Record in Web of Science</v>
      </c>
    </row>
    <row r="227" spans="1:72" x14ac:dyDescent="0.15">
      <c r="A227" t="s">
        <v>72</v>
      </c>
      <c r="B227" t="s">
        <v>3657</v>
      </c>
      <c r="C227" t="s">
        <v>74</v>
      </c>
      <c r="D227" t="s">
        <v>74</v>
      </c>
      <c r="E227" t="s">
        <v>74</v>
      </c>
      <c r="F227" t="s">
        <v>3658</v>
      </c>
      <c r="G227" t="s">
        <v>74</v>
      </c>
      <c r="H227" t="s">
        <v>74</v>
      </c>
      <c r="I227" t="s">
        <v>3659</v>
      </c>
      <c r="J227" t="s">
        <v>3660</v>
      </c>
      <c r="K227" t="s">
        <v>74</v>
      </c>
      <c r="L227" t="s">
        <v>74</v>
      </c>
      <c r="M227" t="s">
        <v>78</v>
      </c>
      <c r="N227" t="s">
        <v>79</v>
      </c>
      <c r="O227" t="s">
        <v>74</v>
      </c>
      <c r="P227" t="s">
        <v>74</v>
      </c>
      <c r="Q227" t="s">
        <v>74</v>
      </c>
      <c r="R227" t="s">
        <v>74</v>
      </c>
      <c r="S227" t="s">
        <v>74</v>
      </c>
      <c r="T227" t="s">
        <v>3661</v>
      </c>
      <c r="U227" t="s">
        <v>3662</v>
      </c>
      <c r="V227" t="s">
        <v>3663</v>
      </c>
      <c r="W227" t="s">
        <v>3664</v>
      </c>
      <c r="X227" t="s">
        <v>3665</v>
      </c>
      <c r="Y227" t="s">
        <v>3666</v>
      </c>
      <c r="Z227" t="s">
        <v>3667</v>
      </c>
      <c r="AA227" t="s">
        <v>3668</v>
      </c>
      <c r="AB227" t="s">
        <v>3669</v>
      </c>
      <c r="AC227" t="s">
        <v>74</v>
      </c>
      <c r="AD227" t="s">
        <v>74</v>
      </c>
      <c r="AE227" t="s">
        <v>74</v>
      </c>
      <c r="AF227" t="s">
        <v>74</v>
      </c>
      <c r="AG227">
        <v>42</v>
      </c>
      <c r="AH227">
        <v>31</v>
      </c>
      <c r="AI227">
        <v>40</v>
      </c>
      <c r="AJ227">
        <v>0</v>
      </c>
      <c r="AK227">
        <v>10</v>
      </c>
      <c r="AL227" t="s">
        <v>3670</v>
      </c>
      <c r="AM227" t="s">
        <v>3671</v>
      </c>
      <c r="AN227" t="s">
        <v>3672</v>
      </c>
      <c r="AO227" t="s">
        <v>3673</v>
      </c>
      <c r="AP227" t="s">
        <v>74</v>
      </c>
      <c r="AQ227" t="s">
        <v>74</v>
      </c>
      <c r="AR227" t="s">
        <v>3674</v>
      </c>
      <c r="AS227" t="s">
        <v>3675</v>
      </c>
      <c r="AT227" t="s">
        <v>2635</v>
      </c>
      <c r="AU227">
        <v>2006</v>
      </c>
      <c r="AV227">
        <v>66</v>
      </c>
      <c r="AW227">
        <v>1</v>
      </c>
      <c r="AX227" t="s">
        <v>74</v>
      </c>
      <c r="AY227" t="s">
        <v>74</v>
      </c>
      <c r="AZ227" t="s">
        <v>74</v>
      </c>
      <c r="BA227" t="s">
        <v>74</v>
      </c>
      <c r="BB227">
        <v>1</v>
      </c>
      <c r="BC227">
        <v>11</v>
      </c>
      <c r="BD227" t="s">
        <v>74</v>
      </c>
      <c r="BE227" t="s">
        <v>3676</v>
      </c>
      <c r="BF227" t="str">
        <f>HYPERLINK("http://dx.doi.org/10.1016/j.yqres.2006.01.006","http://dx.doi.org/10.1016/j.yqres.2006.01.006")</f>
        <v>http://dx.doi.org/10.1016/j.yqres.2006.01.006</v>
      </c>
      <c r="BG227" t="s">
        <v>74</v>
      </c>
      <c r="BH227" t="s">
        <v>74</v>
      </c>
      <c r="BI227">
        <v>11</v>
      </c>
      <c r="BJ227" t="s">
        <v>2893</v>
      </c>
      <c r="BK227" t="s">
        <v>97</v>
      </c>
      <c r="BL227" t="s">
        <v>2894</v>
      </c>
      <c r="BM227" t="s">
        <v>3677</v>
      </c>
      <c r="BN227" t="s">
        <v>74</v>
      </c>
      <c r="BO227" t="s">
        <v>74</v>
      </c>
      <c r="BP227" t="s">
        <v>74</v>
      </c>
      <c r="BQ227" t="s">
        <v>74</v>
      </c>
      <c r="BR227" t="s">
        <v>100</v>
      </c>
      <c r="BS227" t="s">
        <v>3678</v>
      </c>
      <c r="BT227" t="str">
        <f>HYPERLINK("https%3A%2F%2Fwww.webofscience.com%2Fwos%2Fwoscc%2Ffull-record%2FWOS:000238690400001","View Full Record in Web of Science")</f>
        <v>View Full Record in Web of Science</v>
      </c>
    </row>
    <row r="228" spans="1:72" x14ac:dyDescent="0.15">
      <c r="A228" t="s">
        <v>72</v>
      </c>
      <c r="B228" t="s">
        <v>3679</v>
      </c>
      <c r="C228" t="s">
        <v>74</v>
      </c>
      <c r="D228" t="s">
        <v>74</v>
      </c>
      <c r="E228" t="s">
        <v>74</v>
      </c>
      <c r="F228" t="s">
        <v>3680</v>
      </c>
      <c r="G228" t="s">
        <v>74</v>
      </c>
      <c r="H228" t="s">
        <v>74</v>
      </c>
      <c r="I228" t="s">
        <v>3681</v>
      </c>
      <c r="J228" t="s">
        <v>3682</v>
      </c>
      <c r="K228" t="s">
        <v>74</v>
      </c>
      <c r="L228" t="s">
        <v>74</v>
      </c>
      <c r="M228" t="s">
        <v>3683</v>
      </c>
      <c r="N228" t="s">
        <v>79</v>
      </c>
      <c r="O228" t="s">
        <v>74</v>
      </c>
      <c r="P228" t="s">
        <v>74</v>
      </c>
      <c r="Q228" t="s">
        <v>74</v>
      </c>
      <c r="R228" t="s">
        <v>74</v>
      </c>
      <c r="S228" t="s">
        <v>74</v>
      </c>
      <c r="T228" t="s">
        <v>3684</v>
      </c>
      <c r="U228" t="s">
        <v>74</v>
      </c>
      <c r="V228" t="s">
        <v>3685</v>
      </c>
      <c r="W228" t="s">
        <v>3686</v>
      </c>
      <c r="X228" t="s">
        <v>3687</v>
      </c>
      <c r="Y228" t="s">
        <v>3688</v>
      </c>
      <c r="Z228" t="s">
        <v>3689</v>
      </c>
      <c r="AA228" t="s">
        <v>3690</v>
      </c>
      <c r="AB228" t="s">
        <v>3691</v>
      </c>
      <c r="AC228" t="s">
        <v>74</v>
      </c>
      <c r="AD228" t="s">
        <v>74</v>
      </c>
      <c r="AE228" t="s">
        <v>74</v>
      </c>
      <c r="AF228" t="s">
        <v>74</v>
      </c>
      <c r="AG228">
        <v>19</v>
      </c>
      <c r="AH228">
        <v>1</v>
      </c>
      <c r="AI228">
        <v>1</v>
      </c>
      <c r="AJ228">
        <v>0</v>
      </c>
      <c r="AK228">
        <v>0</v>
      </c>
      <c r="AL228" t="s">
        <v>3692</v>
      </c>
      <c r="AM228" t="s">
        <v>3693</v>
      </c>
      <c r="AN228" t="s">
        <v>3694</v>
      </c>
      <c r="AO228" t="s">
        <v>3695</v>
      </c>
      <c r="AP228" t="s">
        <v>3696</v>
      </c>
      <c r="AQ228" t="s">
        <v>74</v>
      </c>
      <c r="AR228" t="s">
        <v>3697</v>
      </c>
      <c r="AS228" t="s">
        <v>3698</v>
      </c>
      <c r="AT228" t="s">
        <v>3397</v>
      </c>
      <c r="AU228">
        <v>2006</v>
      </c>
      <c r="AV228">
        <v>7</v>
      </c>
      <c r="AW228">
        <v>2</v>
      </c>
      <c r="AX228" t="s">
        <v>74</v>
      </c>
      <c r="AY228" t="s">
        <v>74</v>
      </c>
      <c r="AZ228" t="s">
        <v>74</v>
      </c>
      <c r="BA228" t="s">
        <v>74</v>
      </c>
      <c r="BB228">
        <v>51</v>
      </c>
      <c r="BC228">
        <v>60</v>
      </c>
      <c r="BD228" t="s">
        <v>74</v>
      </c>
      <c r="BE228" t="s">
        <v>74</v>
      </c>
      <c r="BF228" t="s">
        <v>74</v>
      </c>
      <c r="BG228" t="s">
        <v>74</v>
      </c>
      <c r="BH228" t="s">
        <v>74</v>
      </c>
      <c r="BI228">
        <v>10</v>
      </c>
      <c r="BJ228" t="s">
        <v>3699</v>
      </c>
      <c r="BK228" t="s">
        <v>3112</v>
      </c>
      <c r="BL228" t="s">
        <v>3700</v>
      </c>
      <c r="BM228" t="s">
        <v>3701</v>
      </c>
      <c r="BN228" t="s">
        <v>74</v>
      </c>
      <c r="BO228" t="s">
        <v>74</v>
      </c>
      <c r="BP228" t="s">
        <v>74</v>
      </c>
      <c r="BQ228" t="s">
        <v>74</v>
      </c>
      <c r="BR228" t="s">
        <v>100</v>
      </c>
      <c r="BS228" t="s">
        <v>3702</v>
      </c>
      <c r="BT228" t="str">
        <f>HYPERLINK("https%3A%2F%2Fwww.webofscience.com%2Fwos%2Fwoscc%2Ffull-record%2FWOS:000216924400005","View Full Record in Web of Science")</f>
        <v>View Full Record in Web of Science</v>
      </c>
    </row>
    <row r="229" spans="1:72" x14ac:dyDescent="0.15">
      <c r="A229" t="s">
        <v>72</v>
      </c>
      <c r="B229" t="s">
        <v>3703</v>
      </c>
      <c r="C229" t="s">
        <v>74</v>
      </c>
      <c r="D229" t="s">
        <v>74</v>
      </c>
      <c r="E229" t="s">
        <v>74</v>
      </c>
      <c r="F229" t="s">
        <v>3704</v>
      </c>
      <c r="G229" t="s">
        <v>74</v>
      </c>
      <c r="H229" t="s">
        <v>74</v>
      </c>
      <c r="I229" t="s">
        <v>3705</v>
      </c>
      <c r="J229" t="s">
        <v>3706</v>
      </c>
      <c r="K229" t="s">
        <v>74</v>
      </c>
      <c r="L229" t="s">
        <v>74</v>
      </c>
      <c r="M229" t="s">
        <v>78</v>
      </c>
      <c r="N229" t="s">
        <v>79</v>
      </c>
      <c r="O229" t="s">
        <v>74</v>
      </c>
      <c r="P229" t="s">
        <v>74</v>
      </c>
      <c r="Q229" t="s">
        <v>74</v>
      </c>
      <c r="R229" t="s">
        <v>74</v>
      </c>
      <c r="S229" t="s">
        <v>74</v>
      </c>
      <c r="T229" t="s">
        <v>3707</v>
      </c>
      <c r="U229" t="s">
        <v>3708</v>
      </c>
      <c r="V229" t="s">
        <v>3709</v>
      </c>
      <c r="W229" t="s">
        <v>3710</v>
      </c>
      <c r="X229" t="s">
        <v>3711</v>
      </c>
      <c r="Y229" t="s">
        <v>3712</v>
      </c>
      <c r="Z229" t="s">
        <v>3713</v>
      </c>
      <c r="AA229" t="s">
        <v>3714</v>
      </c>
      <c r="AB229" t="s">
        <v>74</v>
      </c>
      <c r="AC229" t="s">
        <v>74</v>
      </c>
      <c r="AD229" t="s">
        <v>74</v>
      </c>
      <c r="AE229" t="s">
        <v>74</v>
      </c>
      <c r="AF229" t="s">
        <v>74</v>
      </c>
      <c r="AG229">
        <v>68</v>
      </c>
      <c r="AH229">
        <v>24</v>
      </c>
      <c r="AI229">
        <v>25</v>
      </c>
      <c r="AJ229">
        <v>0</v>
      </c>
      <c r="AK229">
        <v>9</v>
      </c>
      <c r="AL229" t="s">
        <v>3715</v>
      </c>
      <c r="AM229" t="s">
        <v>3716</v>
      </c>
      <c r="AN229" t="s">
        <v>3717</v>
      </c>
      <c r="AO229" t="s">
        <v>3718</v>
      </c>
      <c r="AP229" t="s">
        <v>74</v>
      </c>
      <c r="AQ229" t="s">
        <v>74</v>
      </c>
      <c r="AR229" t="s">
        <v>3719</v>
      </c>
      <c r="AS229" t="s">
        <v>3720</v>
      </c>
      <c r="AT229" t="s">
        <v>2635</v>
      </c>
      <c r="AU229">
        <v>2006</v>
      </c>
      <c r="AV229">
        <v>33</v>
      </c>
      <c r="AW229">
        <v>2</v>
      </c>
      <c r="AX229" t="s">
        <v>74</v>
      </c>
      <c r="AY229" t="s">
        <v>74</v>
      </c>
      <c r="AZ229" t="s">
        <v>74</v>
      </c>
      <c r="BA229" t="s">
        <v>74</v>
      </c>
      <c r="BB229">
        <v>199</v>
      </c>
      <c r="BC229">
        <v>219</v>
      </c>
      <c r="BD229" t="s">
        <v>74</v>
      </c>
      <c r="BE229" t="s">
        <v>74</v>
      </c>
      <c r="BF229" t="s">
        <v>74</v>
      </c>
      <c r="BG229" t="s">
        <v>74</v>
      </c>
      <c r="BH229" t="s">
        <v>74</v>
      </c>
      <c r="BI229">
        <v>21</v>
      </c>
      <c r="BJ229" t="s">
        <v>528</v>
      </c>
      <c r="BK229" t="s">
        <v>97</v>
      </c>
      <c r="BL229" t="s">
        <v>528</v>
      </c>
      <c r="BM229" t="s">
        <v>3721</v>
      </c>
      <c r="BN229" t="s">
        <v>74</v>
      </c>
      <c r="BO229" t="s">
        <v>74</v>
      </c>
      <c r="BP229" t="s">
        <v>74</v>
      </c>
      <c r="BQ229" t="s">
        <v>74</v>
      </c>
      <c r="BR229" t="s">
        <v>100</v>
      </c>
      <c r="BS229" t="s">
        <v>3722</v>
      </c>
      <c r="BT229" t="str">
        <f>HYPERLINK("https%3A%2F%2Fwww.webofscience.com%2Fwos%2Fwoscc%2Ffull-record%2FWOS:000239443000001","View Full Record in Web of Science")</f>
        <v>View Full Record in Web of Science</v>
      </c>
    </row>
    <row r="230" spans="1:72" x14ac:dyDescent="0.15">
      <c r="A230" t="s">
        <v>72</v>
      </c>
      <c r="B230" t="s">
        <v>3723</v>
      </c>
      <c r="C230" t="s">
        <v>74</v>
      </c>
      <c r="D230" t="s">
        <v>74</v>
      </c>
      <c r="E230" t="s">
        <v>74</v>
      </c>
      <c r="F230" t="s">
        <v>3724</v>
      </c>
      <c r="G230" t="s">
        <v>74</v>
      </c>
      <c r="H230" t="s">
        <v>74</v>
      </c>
      <c r="I230" t="s">
        <v>3725</v>
      </c>
      <c r="J230" t="s">
        <v>3726</v>
      </c>
      <c r="K230" t="s">
        <v>74</v>
      </c>
      <c r="L230" t="s">
        <v>74</v>
      </c>
      <c r="M230" t="s">
        <v>78</v>
      </c>
      <c r="N230" t="s">
        <v>3727</v>
      </c>
      <c r="O230" t="s">
        <v>74</v>
      </c>
      <c r="P230" t="s">
        <v>74</v>
      </c>
      <c r="Q230" t="s">
        <v>74</v>
      </c>
      <c r="R230" t="s">
        <v>74</v>
      </c>
      <c r="S230" t="s">
        <v>74</v>
      </c>
      <c r="T230" t="s">
        <v>74</v>
      </c>
      <c r="U230" t="s">
        <v>74</v>
      </c>
      <c r="V230" t="s">
        <v>74</v>
      </c>
      <c r="W230" t="s">
        <v>3728</v>
      </c>
      <c r="X230" t="s">
        <v>74</v>
      </c>
      <c r="Y230" t="s">
        <v>3729</v>
      </c>
      <c r="Z230" t="s">
        <v>74</v>
      </c>
      <c r="AA230" t="s">
        <v>74</v>
      </c>
      <c r="AB230" t="s">
        <v>74</v>
      </c>
      <c r="AC230" t="s">
        <v>74</v>
      </c>
      <c r="AD230" t="s">
        <v>74</v>
      </c>
      <c r="AE230" t="s">
        <v>74</v>
      </c>
      <c r="AF230" t="s">
        <v>74</v>
      </c>
      <c r="AG230">
        <v>1</v>
      </c>
      <c r="AH230">
        <v>0</v>
      </c>
      <c r="AI230">
        <v>0</v>
      </c>
      <c r="AJ230">
        <v>0</v>
      </c>
      <c r="AK230">
        <v>1</v>
      </c>
      <c r="AL230" t="s">
        <v>3730</v>
      </c>
      <c r="AM230" t="s">
        <v>3731</v>
      </c>
      <c r="AN230" t="s">
        <v>3732</v>
      </c>
      <c r="AO230" t="s">
        <v>3733</v>
      </c>
      <c r="AP230" t="s">
        <v>74</v>
      </c>
      <c r="AQ230" t="s">
        <v>74</v>
      </c>
      <c r="AR230" t="s">
        <v>3734</v>
      </c>
      <c r="AS230" t="s">
        <v>3735</v>
      </c>
      <c r="AT230" t="s">
        <v>2635</v>
      </c>
      <c r="AU230">
        <v>2006</v>
      </c>
      <c r="AV230">
        <v>47</v>
      </c>
      <c r="AW230">
        <v>3</v>
      </c>
      <c r="AX230" t="s">
        <v>74</v>
      </c>
      <c r="AY230" t="s">
        <v>74</v>
      </c>
      <c r="AZ230" t="s">
        <v>74</v>
      </c>
      <c r="BA230" t="s">
        <v>74</v>
      </c>
      <c r="BB230">
        <v>694</v>
      </c>
      <c r="BC230">
        <v>695</v>
      </c>
      <c r="BD230" t="s">
        <v>74</v>
      </c>
      <c r="BE230" t="s">
        <v>3736</v>
      </c>
      <c r="BF230" t="str">
        <f>HYPERLINK("http://dx.doi.org/10.1353/tech.2006.0173","http://dx.doi.org/10.1353/tech.2006.0173")</f>
        <v>http://dx.doi.org/10.1353/tech.2006.0173</v>
      </c>
      <c r="BG230" t="s">
        <v>74</v>
      </c>
      <c r="BH230" t="s">
        <v>74</v>
      </c>
      <c r="BI230">
        <v>2</v>
      </c>
      <c r="BJ230" t="s">
        <v>3737</v>
      </c>
      <c r="BK230" t="s">
        <v>3738</v>
      </c>
      <c r="BL230" t="s">
        <v>3739</v>
      </c>
      <c r="BM230" t="s">
        <v>3740</v>
      </c>
      <c r="BN230" t="s">
        <v>74</v>
      </c>
      <c r="BO230" t="s">
        <v>74</v>
      </c>
      <c r="BP230" t="s">
        <v>74</v>
      </c>
      <c r="BQ230" t="s">
        <v>74</v>
      </c>
      <c r="BR230" t="s">
        <v>100</v>
      </c>
      <c r="BS230" t="s">
        <v>3741</v>
      </c>
      <c r="BT230" t="str">
        <f>HYPERLINK("https%3A%2F%2Fwww.webofscience.com%2Fwos%2Fwoscc%2Ffull-record%2FWOS:000239770900042","View Full Record in Web of Science")</f>
        <v>View Full Record in Web of Science</v>
      </c>
    </row>
    <row r="231" spans="1:72" x14ac:dyDescent="0.15">
      <c r="A231" t="s">
        <v>72</v>
      </c>
      <c r="B231" t="s">
        <v>3742</v>
      </c>
      <c r="C231" t="s">
        <v>74</v>
      </c>
      <c r="D231" t="s">
        <v>74</v>
      </c>
      <c r="E231" t="s">
        <v>74</v>
      </c>
      <c r="F231" t="s">
        <v>3743</v>
      </c>
      <c r="G231" t="s">
        <v>74</v>
      </c>
      <c r="H231" t="s">
        <v>74</v>
      </c>
      <c r="I231" t="s">
        <v>3744</v>
      </c>
      <c r="J231" t="s">
        <v>3745</v>
      </c>
      <c r="K231" t="s">
        <v>74</v>
      </c>
      <c r="L231" t="s">
        <v>74</v>
      </c>
      <c r="M231" t="s">
        <v>78</v>
      </c>
      <c r="N231" t="s">
        <v>79</v>
      </c>
      <c r="O231" t="s">
        <v>74</v>
      </c>
      <c r="P231" t="s">
        <v>74</v>
      </c>
      <c r="Q231" t="s">
        <v>74</v>
      </c>
      <c r="R231" t="s">
        <v>74</v>
      </c>
      <c r="S231" t="s">
        <v>74</v>
      </c>
      <c r="T231" t="s">
        <v>3746</v>
      </c>
      <c r="U231" t="s">
        <v>3747</v>
      </c>
      <c r="V231" t="s">
        <v>3748</v>
      </c>
      <c r="W231" t="s">
        <v>3749</v>
      </c>
      <c r="X231" t="s">
        <v>3750</v>
      </c>
      <c r="Y231" t="s">
        <v>3751</v>
      </c>
      <c r="Z231" t="s">
        <v>3752</v>
      </c>
      <c r="AA231" t="s">
        <v>74</v>
      </c>
      <c r="AB231" t="s">
        <v>74</v>
      </c>
      <c r="AC231" t="s">
        <v>74</v>
      </c>
      <c r="AD231" t="s">
        <v>74</v>
      </c>
      <c r="AE231" t="s">
        <v>74</v>
      </c>
      <c r="AF231" t="s">
        <v>74</v>
      </c>
      <c r="AG231">
        <v>57</v>
      </c>
      <c r="AH231">
        <v>18</v>
      </c>
      <c r="AI231">
        <v>20</v>
      </c>
      <c r="AJ231">
        <v>1</v>
      </c>
      <c r="AK231">
        <v>16</v>
      </c>
      <c r="AL231" t="s">
        <v>519</v>
      </c>
      <c r="AM231" t="s">
        <v>520</v>
      </c>
      <c r="AN231" t="s">
        <v>521</v>
      </c>
      <c r="AO231" t="s">
        <v>3753</v>
      </c>
      <c r="AP231" t="s">
        <v>3754</v>
      </c>
      <c r="AQ231" t="s">
        <v>74</v>
      </c>
      <c r="AR231" t="s">
        <v>3755</v>
      </c>
      <c r="AS231" t="s">
        <v>3756</v>
      </c>
      <c r="AT231" t="s">
        <v>3757</v>
      </c>
      <c r="AU231">
        <v>2006</v>
      </c>
      <c r="AV231">
        <v>246</v>
      </c>
      <c r="AW231" t="s">
        <v>1243</v>
      </c>
      <c r="AX231" t="s">
        <v>74</v>
      </c>
      <c r="AY231" t="s">
        <v>74</v>
      </c>
      <c r="AZ231" t="s">
        <v>74</v>
      </c>
      <c r="BA231" t="s">
        <v>74</v>
      </c>
      <c r="BB231">
        <v>149</v>
      </c>
      <c r="BC231">
        <v>160</v>
      </c>
      <c r="BD231" t="s">
        <v>74</v>
      </c>
      <c r="BE231" t="s">
        <v>3758</v>
      </c>
      <c r="BF231" t="str">
        <f>HYPERLINK("http://dx.doi.org/10.1016/j.epsl.2006.03.045","http://dx.doi.org/10.1016/j.epsl.2006.03.045")</f>
        <v>http://dx.doi.org/10.1016/j.epsl.2006.03.045</v>
      </c>
      <c r="BG231" t="s">
        <v>74</v>
      </c>
      <c r="BH231" t="s">
        <v>74</v>
      </c>
      <c r="BI231">
        <v>12</v>
      </c>
      <c r="BJ231" t="s">
        <v>608</v>
      </c>
      <c r="BK231" t="s">
        <v>97</v>
      </c>
      <c r="BL231" t="s">
        <v>608</v>
      </c>
      <c r="BM231" t="s">
        <v>3759</v>
      </c>
      <c r="BN231" t="s">
        <v>74</v>
      </c>
      <c r="BO231" t="s">
        <v>74</v>
      </c>
      <c r="BP231" t="s">
        <v>74</v>
      </c>
      <c r="BQ231" t="s">
        <v>74</v>
      </c>
      <c r="BR231" t="s">
        <v>100</v>
      </c>
      <c r="BS231" t="s">
        <v>3760</v>
      </c>
      <c r="BT231" t="str">
        <f>HYPERLINK("https%3A%2F%2Fwww.webofscience.com%2Fwos%2Fwoscc%2Ffull-record%2FWOS:000239125500001","View Full Record in Web of Science")</f>
        <v>View Full Record in Web of Science</v>
      </c>
    </row>
    <row r="232" spans="1:72" x14ac:dyDescent="0.15">
      <c r="A232" t="s">
        <v>72</v>
      </c>
      <c r="B232" t="s">
        <v>3761</v>
      </c>
      <c r="C232" t="s">
        <v>74</v>
      </c>
      <c r="D232" t="s">
        <v>74</v>
      </c>
      <c r="E232" t="s">
        <v>74</v>
      </c>
      <c r="F232" t="s">
        <v>3762</v>
      </c>
      <c r="G232" t="s">
        <v>74</v>
      </c>
      <c r="H232" t="s">
        <v>74</v>
      </c>
      <c r="I232" t="s">
        <v>3763</v>
      </c>
      <c r="J232" t="s">
        <v>3745</v>
      </c>
      <c r="K232" t="s">
        <v>74</v>
      </c>
      <c r="L232" t="s">
        <v>74</v>
      </c>
      <c r="M232" t="s">
        <v>78</v>
      </c>
      <c r="N232" t="s">
        <v>79</v>
      </c>
      <c r="O232" t="s">
        <v>74</v>
      </c>
      <c r="P232" t="s">
        <v>74</v>
      </c>
      <c r="Q232" t="s">
        <v>74</v>
      </c>
      <c r="R232" t="s">
        <v>74</v>
      </c>
      <c r="S232" t="s">
        <v>74</v>
      </c>
      <c r="T232" t="s">
        <v>3764</v>
      </c>
      <c r="U232" t="s">
        <v>3765</v>
      </c>
      <c r="V232" t="s">
        <v>3766</v>
      </c>
      <c r="W232" t="s">
        <v>3767</v>
      </c>
      <c r="X232" t="s">
        <v>3768</v>
      </c>
      <c r="Y232" t="s">
        <v>3769</v>
      </c>
      <c r="Z232" t="s">
        <v>3770</v>
      </c>
      <c r="AA232" t="s">
        <v>74</v>
      </c>
      <c r="AB232" t="s">
        <v>3771</v>
      </c>
      <c r="AC232" t="s">
        <v>74</v>
      </c>
      <c r="AD232" t="s">
        <v>74</v>
      </c>
      <c r="AE232" t="s">
        <v>74</v>
      </c>
      <c r="AF232" t="s">
        <v>74</v>
      </c>
      <c r="AG232">
        <v>47</v>
      </c>
      <c r="AH232">
        <v>37</v>
      </c>
      <c r="AI232">
        <v>44</v>
      </c>
      <c r="AJ232">
        <v>0</v>
      </c>
      <c r="AK232">
        <v>9</v>
      </c>
      <c r="AL232" t="s">
        <v>1261</v>
      </c>
      <c r="AM232" t="s">
        <v>520</v>
      </c>
      <c r="AN232" t="s">
        <v>1262</v>
      </c>
      <c r="AO232" t="s">
        <v>3753</v>
      </c>
      <c r="AP232" t="s">
        <v>74</v>
      </c>
      <c r="AQ232" t="s">
        <v>74</v>
      </c>
      <c r="AR232" t="s">
        <v>3755</v>
      </c>
      <c r="AS232" t="s">
        <v>3756</v>
      </c>
      <c r="AT232" t="s">
        <v>3757</v>
      </c>
      <c r="AU232">
        <v>2006</v>
      </c>
      <c r="AV232">
        <v>246</v>
      </c>
      <c r="AW232" t="s">
        <v>1243</v>
      </c>
      <c r="AX232" t="s">
        <v>74</v>
      </c>
      <c r="AY232" t="s">
        <v>74</v>
      </c>
      <c r="AZ232" t="s">
        <v>74</v>
      </c>
      <c r="BA232" t="s">
        <v>74</v>
      </c>
      <c r="BB232">
        <v>305</v>
      </c>
      <c r="BC232">
        <v>316</v>
      </c>
      <c r="BD232" t="s">
        <v>74</v>
      </c>
      <c r="BE232" t="s">
        <v>3772</v>
      </c>
      <c r="BF232" t="str">
        <f>HYPERLINK("http://dx.doi.org/10.1016/j.epsl.2006.04.012","http://dx.doi.org/10.1016/j.epsl.2006.04.012")</f>
        <v>http://dx.doi.org/10.1016/j.epsl.2006.04.012</v>
      </c>
      <c r="BG232" t="s">
        <v>74</v>
      </c>
      <c r="BH232" t="s">
        <v>74</v>
      </c>
      <c r="BI232">
        <v>12</v>
      </c>
      <c r="BJ232" t="s">
        <v>608</v>
      </c>
      <c r="BK232" t="s">
        <v>97</v>
      </c>
      <c r="BL232" t="s">
        <v>608</v>
      </c>
      <c r="BM232" t="s">
        <v>3759</v>
      </c>
      <c r="BN232" t="s">
        <v>74</v>
      </c>
      <c r="BO232" t="s">
        <v>74</v>
      </c>
      <c r="BP232" t="s">
        <v>74</v>
      </c>
      <c r="BQ232" t="s">
        <v>74</v>
      </c>
      <c r="BR232" t="s">
        <v>100</v>
      </c>
      <c r="BS232" t="s">
        <v>3773</v>
      </c>
      <c r="BT232" t="str">
        <f>HYPERLINK("https%3A%2F%2Fwww.webofscience.com%2Fwos%2Fwoscc%2Ffull-record%2FWOS:000239125500014","View Full Record in Web of Science")</f>
        <v>View Full Record in Web of Science</v>
      </c>
    </row>
    <row r="233" spans="1:72" x14ac:dyDescent="0.15">
      <c r="A233" t="s">
        <v>72</v>
      </c>
      <c r="B233" t="s">
        <v>3774</v>
      </c>
      <c r="C233" t="s">
        <v>74</v>
      </c>
      <c r="D233" t="s">
        <v>74</v>
      </c>
      <c r="E233" t="s">
        <v>74</v>
      </c>
      <c r="F233" t="s">
        <v>3775</v>
      </c>
      <c r="G233" t="s">
        <v>74</v>
      </c>
      <c r="H233" t="s">
        <v>74</v>
      </c>
      <c r="I233" t="s">
        <v>3776</v>
      </c>
      <c r="J233" t="s">
        <v>1748</v>
      </c>
      <c r="K233" t="s">
        <v>74</v>
      </c>
      <c r="L233" t="s">
        <v>74</v>
      </c>
      <c r="M233" t="s">
        <v>78</v>
      </c>
      <c r="N233" t="s">
        <v>79</v>
      </c>
      <c r="O233" t="s">
        <v>74</v>
      </c>
      <c r="P233" t="s">
        <v>74</v>
      </c>
      <c r="Q233" t="s">
        <v>74</v>
      </c>
      <c r="R233" t="s">
        <v>74</v>
      </c>
      <c r="S233" t="s">
        <v>74</v>
      </c>
      <c r="T233" t="s">
        <v>74</v>
      </c>
      <c r="U233" t="s">
        <v>3777</v>
      </c>
      <c r="V233" t="s">
        <v>3778</v>
      </c>
      <c r="W233" t="s">
        <v>3779</v>
      </c>
      <c r="X233" t="s">
        <v>3780</v>
      </c>
      <c r="Y233" t="s">
        <v>3781</v>
      </c>
      <c r="Z233" t="s">
        <v>3782</v>
      </c>
      <c r="AA233" t="s">
        <v>3783</v>
      </c>
      <c r="AB233" t="s">
        <v>3784</v>
      </c>
      <c r="AC233" t="s">
        <v>74</v>
      </c>
      <c r="AD233" t="s">
        <v>74</v>
      </c>
      <c r="AE233" t="s">
        <v>74</v>
      </c>
      <c r="AF233" t="s">
        <v>74</v>
      </c>
      <c r="AG233">
        <v>21</v>
      </c>
      <c r="AH233">
        <v>140</v>
      </c>
      <c r="AI233">
        <v>147</v>
      </c>
      <c r="AJ233">
        <v>14</v>
      </c>
      <c r="AK233">
        <v>78</v>
      </c>
      <c r="AL233" t="s">
        <v>1757</v>
      </c>
      <c r="AM233" t="s">
        <v>88</v>
      </c>
      <c r="AN233" t="s">
        <v>1758</v>
      </c>
      <c r="AO233" t="s">
        <v>1759</v>
      </c>
      <c r="AP233" t="s">
        <v>74</v>
      </c>
      <c r="AQ233" t="s">
        <v>74</v>
      </c>
      <c r="AR233" t="s">
        <v>1761</v>
      </c>
      <c r="AS233" t="s">
        <v>1762</v>
      </c>
      <c r="AT233" t="s">
        <v>3757</v>
      </c>
      <c r="AU233">
        <v>2006</v>
      </c>
      <c r="AV233">
        <v>33</v>
      </c>
      <c r="AW233">
        <v>12</v>
      </c>
      <c r="AX233" t="s">
        <v>74</v>
      </c>
      <c r="AY233" t="s">
        <v>74</v>
      </c>
      <c r="AZ233" t="s">
        <v>74</v>
      </c>
      <c r="BA233" t="s">
        <v>74</v>
      </c>
      <c r="BB233" t="s">
        <v>74</v>
      </c>
      <c r="BC233" t="s">
        <v>74</v>
      </c>
      <c r="BD233" t="s">
        <v>3785</v>
      </c>
      <c r="BE233" t="s">
        <v>3786</v>
      </c>
      <c r="BF233" t="str">
        <f>HYPERLINK("http://dx.doi.org/10.1029/2005GL025232","http://dx.doi.org/10.1029/2005GL025232")</f>
        <v>http://dx.doi.org/10.1029/2005GL025232</v>
      </c>
      <c r="BG233" t="s">
        <v>74</v>
      </c>
      <c r="BH233" t="s">
        <v>74</v>
      </c>
      <c r="BI233">
        <v>5</v>
      </c>
      <c r="BJ233" t="s">
        <v>527</v>
      </c>
      <c r="BK233" t="s">
        <v>97</v>
      </c>
      <c r="BL233" t="s">
        <v>528</v>
      </c>
      <c r="BM233" t="s">
        <v>3787</v>
      </c>
      <c r="BN233" t="s">
        <v>74</v>
      </c>
      <c r="BO233" t="s">
        <v>227</v>
      </c>
      <c r="BP233" t="s">
        <v>74</v>
      </c>
      <c r="BQ233" t="s">
        <v>74</v>
      </c>
      <c r="BR233" t="s">
        <v>100</v>
      </c>
      <c r="BS233" t="s">
        <v>3788</v>
      </c>
      <c r="BT233" t="str">
        <f>HYPERLINK("https%3A%2F%2Fwww.webofscience.com%2Fwos%2Fwoscc%2Ffull-record%2FWOS:000238937600001","View Full Record in Web of Science")</f>
        <v>View Full Record in Web of Science</v>
      </c>
    </row>
    <row r="234" spans="1:72" x14ac:dyDescent="0.15">
      <c r="A234" t="s">
        <v>72</v>
      </c>
      <c r="B234" t="s">
        <v>3789</v>
      </c>
      <c r="C234" t="s">
        <v>74</v>
      </c>
      <c r="D234" t="s">
        <v>74</v>
      </c>
      <c r="E234" t="s">
        <v>74</v>
      </c>
      <c r="F234" t="s">
        <v>3790</v>
      </c>
      <c r="G234" t="s">
        <v>74</v>
      </c>
      <c r="H234" t="s">
        <v>74</v>
      </c>
      <c r="I234" t="s">
        <v>3791</v>
      </c>
      <c r="J234" t="s">
        <v>1772</v>
      </c>
      <c r="K234" t="s">
        <v>74</v>
      </c>
      <c r="L234" t="s">
        <v>74</v>
      </c>
      <c r="M234" t="s">
        <v>78</v>
      </c>
      <c r="N234" t="s">
        <v>79</v>
      </c>
      <c r="O234" t="s">
        <v>74</v>
      </c>
      <c r="P234" t="s">
        <v>74</v>
      </c>
      <c r="Q234" t="s">
        <v>74</v>
      </c>
      <c r="R234" t="s">
        <v>74</v>
      </c>
      <c r="S234" t="s">
        <v>74</v>
      </c>
      <c r="T234" t="s">
        <v>74</v>
      </c>
      <c r="U234" t="s">
        <v>3792</v>
      </c>
      <c r="V234" t="s">
        <v>3793</v>
      </c>
      <c r="W234" t="s">
        <v>3794</v>
      </c>
      <c r="X234" t="s">
        <v>3795</v>
      </c>
      <c r="Y234" t="s">
        <v>3796</v>
      </c>
      <c r="Z234" t="s">
        <v>3797</v>
      </c>
      <c r="AA234" t="s">
        <v>3798</v>
      </c>
      <c r="AB234" t="s">
        <v>3799</v>
      </c>
      <c r="AC234" t="s">
        <v>74</v>
      </c>
      <c r="AD234" t="s">
        <v>74</v>
      </c>
      <c r="AE234" t="s">
        <v>74</v>
      </c>
      <c r="AF234" t="s">
        <v>74</v>
      </c>
      <c r="AG234">
        <v>32</v>
      </c>
      <c r="AH234">
        <v>52</v>
      </c>
      <c r="AI234">
        <v>60</v>
      </c>
      <c r="AJ234">
        <v>0</v>
      </c>
      <c r="AK234">
        <v>13</v>
      </c>
      <c r="AL234" t="s">
        <v>1757</v>
      </c>
      <c r="AM234" t="s">
        <v>88</v>
      </c>
      <c r="AN234" t="s">
        <v>1758</v>
      </c>
      <c r="AO234" t="s">
        <v>1779</v>
      </c>
      <c r="AP234" t="s">
        <v>1780</v>
      </c>
      <c r="AQ234" t="s">
        <v>74</v>
      </c>
      <c r="AR234" t="s">
        <v>1781</v>
      </c>
      <c r="AS234" t="s">
        <v>1782</v>
      </c>
      <c r="AT234" t="s">
        <v>3757</v>
      </c>
      <c r="AU234">
        <v>2006</v>
      </c>
      <c r="AV234">
        <v>111</v>
      </c>
      <c r="AW234" t="s">
        <v>3800</v>
      </c>
      <c r="AX234" t="s">
        <v>74</v>
      </c>
      <c r="AY234" t="s">
        <v>74</v>
      </c>
      <c r="AZ234" t="s">
        <v>74</v>
      </c>
      <c r="BA234" t="s">
        <v>74</v>
      </c>
      <c r="BB234" t="s">
        <v>74</v>
      </c>
      <c r="BC234" t="s">
        <v>74</v>
      </c>
      <c r="BD234" t="s">
        <v>3801</v>
      </c>
      <c r="BE234" t="s">
        <v>3802</v>
      </c>
      <c r="BF234" t="str">
        <f>HYPERLINK("http://dx.doi.org/10.1029/2005JD006185","http://dx.doi.org/10.1029/2005JD006185")</f>
        <v>http://dx.doi.org/10.1029/2005JD006185</v>
      </c>
      <c r="BG234" t="s">
        <v>74</v>
      </c>
      <c r="BH234" t="s">
        <v>74</v>
      </c>
      <c r="BI234">
        <v>12</v>
      </c>
      <c r="BJ234" t="s">
        <v>869</v>
      </c>
      <c r="BK234" t="s">
        <v>97</v>
      </c>
      <c r="BL234" t="s">
        <v>869</v>
      </c>
      <c r="BM234" t="s">
        <v>3803</v>
      </c>
      <c r="BN234" t="s">
        <v>74</v>
      </c>
      <c r="BO234" t="s">
        <v>460</v>
      </c>
      <c r="BP234" t="s">
        <v>74</v>
      </c>
      <c r="BQ234" t="s">
        <v>74</v>
      </c>
      <c r="BR234" t="s">
        <v>100</v>
      </c>
      <c r="BS234" t="s">
        <v>3804</v>
      </c>
      <c r="BT234" t="str">
        <f>HYPERLINK("https%3A%2F%2Fwww.webofscience.com%2Fwos%2Fwoscc%2Ffull-record%2FWOS:000238938900001","View Full Record in Web of Science")</f>
        <v>View Full Record in Web of Science</v>
      </c>
    </row>
    <row r="235" spans="1:72" x14ac:dyDescent="0.15">
      <c r="A235" t="s">
        <v>72</v>
      </c>
      <c r="B235" t="s">
        <v>3805</v>
      </c>
      <c r="C235" t="s">
        <v>74</v>
      </c>
      <c r="D235" t="s">
        <v>74</v>
      </c>
      <c r="E235" t="s">
        <v>74</v>
      </c>
      <c r="F235" t="s">
        <v>3806</v>
      </c>
      <c r="G235" t="s">
        <v>74</v>
      </c>
      <c r="H235" t="s">
        <v>74</v>
      </c>
      <c r="I235" t="s">
        <v>3807</v>
      </c>
      <c r="J235" t="s">
        <v>3808</v>
      </c>
      <c r="K235" t="s">
        <v>74</v>
      </c>
      <c r="L235" t="s">
        <v>74</v>
      </c>
      <c r="M235" t="s">
        <v>78</v>
      </c>
      <c r="N235" t="s">
        <v>79</v>
      </c>
      <c r="O235" t="s">
        <v>74</v>
      </c>
      <c r="P235" t="s">
        <v>74</v>
      </c>
      <c r="Q235" t="s">
        <v>74</v>
      </c>
      <c r="R235" t="s">
        <v>74</v>
      </c>
      <c r="S235" t="s">
        <v>74</v>
      </c>
      <c r="T235" t="s">
        <v>3809</v>
      </c>
      <c r="U235" t="s">
        <v>3810</v>
      </c>
      <c r="V235" t="s">
        <v>3811</v>
      </c>
      <c r="W235" t="s">
        <v>3812</v>
      </c>
      <c r="X235" t="s">
        <v>3813</v>
      </c>
      <c r="Y235" t="s">
        <v>3814</v>
      </c>
      <c r="Z235" t="s">
        <v>3815</v>
      </c>
      <c r="AA235" t="s">
        <v>74</v>
      </c>
      <c r="AB235" t="s">
        <v>74</v>
      </c>
      <c r="AC235" t="s">
        <v>74</v>
      </c>
      <c r="AD235" t="s">
        <v>74</v>
      </c>
      <c r="AE235" t="s">
        <v>74</v>
      </c>
      <c r="AF235" t="s">
        <v>74</v>
      </c>
      <c r="AG235">
        <v>31</v>
      </c>
      <c r="AH235">
        <v>15</v>
      </c>
      <c r="AI235">
        <v>18</v>
      </c>
      <c r="AJ235">
        <v>1</v>
      </c>
      <c r="AK235">
        <v>7</v>
      </c>
      <c r="AL235" t="s">
        <v>519</v>
      </c>
      <c r="AM235" t="s">
        <v>520</v>
      </c>
      <c r="AN235" t="s">
        <v>521</v>
      </c>
      <c r="AO235" t="s">
        <v>3816</v>
      </c>
      <c r="AP235" t="s">
        <v>3817</v>
      </c>
      <c r="AQ235" t="s">
        <v>74</v>
      </c>
      <c r="AR235" t="s">
        <v>3818</v>
      </c>
      <c r="AS235" t="s">
        <v>3819</v>
      </c>
      <c r="AT235" t="s">
        <v>3757</v>
      </c>
      <c r="AU235">
        <v>2006</v>
      </c>
      <c r="AV235">
        <v>229</v>
      </c>
      <c r="AW235" t="s">
        <v>1243</v>
      </c>
      <c r="AX235" t="s">
        <v>74</v>
      </c>
      <c r="AY235" t="s">
        <v>74</v>
      </c>
      <c r="AZ235" t="s">
        <v>74</v>
      </c>
      <c r="BA235" t="s">
        <v>74</v>
      </c>
      <c r="BB235">
        <v>273</v>
      </c>
      <c r="BC235">
        <v>284</v>
      </c>
      <c r="BD235" t="s">
        <v>74</v>
      </c>
      <c r="BE235" t="s">
        <v>3820</v>
      </c>
      <c r="BF235" t="str">
        <f>HYPERLINK("http://dx.doi.org/10.1016/j.margeo.2006.01.006","http://dx.doi.org/10.1016/j.margeo.2006.01.006")</f>
        <v>http://dx.doi.org/10.1016/j.margeo.2006.01.006</v>
      </c>
      <c r="BG235" t="s">
        <v>74</v>
      </c>
      <c r="BH235" t="s">
        <v>74</v>
      </c>
      <c r="BI235">
        <v>12</v>
      </c>
      <c r="BJ235" t="s">
        <v>3821</v>
      </c>
      <c r="BK235" t="s">
        <v>97</v>
      </c>
      <c r="BL235" t="s">
        <v>3822</v>
      </c>
      <c r="BM235" t="s">
        <v>3823</v>
      </c>
      <c r="BN235" t="s">
        <v>74</v>
      </c>
      <c r="BO235" t="s">
        <v>74</v>
      </c>
      <c r="BP235" t="s">
        <v>74</v>
      </c>
      <c r="BQ235" t="s">
        <v>74</v>
      </c>
      <c r="BR235" t="s">
        <v>100</v>
      </c>
      <c r="BS235" t="s">
        <v>3824</v>
      </c>
      <c r="BT235" t="str">
        <f>HYPERLINK("https%3A%2F%2Fwww.webofscience.com%2Fwos%2Fwoscc%2Ffull-record%2FWOS:000238622500011","View Full Record in Web of Science")</f>
        <v>View Full Record in Web of Science</v>
      </c>
    </row>
    <row r="236" spans="1:72" x14ac:dyDescent="0.15">
      <c r="A236" t="s">
        <v>72</v>
      </c>
      <c r="B236" t="s">
        <v>3825</v>
      </c>
      <c r="C236" t="s">
        <v>74</v>
      </c>
      <c r="D236" t="s">
        <v>74</v>
      </c>
      <c r="E236" t="s">
        <v>74</v>
      </c>
      <c r="F236" t="s">
        <v>3826</v>
      </c>
      <c r="G236" t="s">
        <v>74</v>
      </c>
      <c r="H236" t="s">
        <v>74</v>
      </c>
      <c r="I236" t="s">
        <v>3827</v>
      </c>
      <c r="J236" t="s">
        <v>3828</v>
      </c>
      <c r="K236" t="s">
        <v>74</v>
      </c>
      <c r="L236" t="s">
        <v>74</v>
      </c>
      <c r="M236" t="s">
        <v>78</v>
      </c>
      <c r="N236" t="s">
        <v>79</v>
      </c>
      <c r="O236" t="s">
        <v>74</v>
      </c>
      <c r="P236" t="s">
        <v>74</v>
      </c>
      <c r="Q236" t="s">
        <v>74</v>
      </c>
      <c r="R236" t="s">
        <v>74</v>
      </c>
      <c r="S236" t="s">
        <v>74</v>
      </c>
      <c r="T236" t="s">
        <v>74</v>
      </c>
      <c r="U236" t="s">
        <v>3829</v>
      </c>
      <c r="V236" t="s">
        <v>3830</v>
      </c>
      <c r="W236" t="s">
        <v>3831</v>
      </c>
      <c r="X236" t="s">
        <v>3832</v>
      </c>
      <c r="Y236" t="s">
        <v>3833</v>
      </c>
      <c r="Z236" t="s">
        <v>3834</v>
      </c>
      <c r="AA236" t="s">
        <v>74</v>
      </c>
      <c r="AB236" t="s">
        <v>74</v>
      </c>
      <c r="AC236" t="s">
        <v>74</v>
      </c>
      <c r="AD236" t="s">
        <v>74</v>
      </c>
      <c r="AE236" t="s">
        <v>74</v>
      </c>
      <c r="AF236" t="s">
        <v>74</v>
      </c>
      <c r="AG236">
        <v>68</v>
      </c>
      <c r="AH236">
        <v>3</v>
      </c>
      <c r="AI236">
        <v>4</v>
      </c>
      <c r="AJ236">
        <v>0</v>
      </c>
      <c r="AK236">
        <v>0</v>
      </c>
      <c r="AL236" t="s">
        <v>3835</v>
      </c>
      <c r="AM236" t="s">
        <v>3836</v>
      </c>
      <c r="AN236" t="s">
        <v>3837</v>
      </c>
      <c r="AO236" t="s">
        <v>3838</v>
      </c>
      <c r="AP236" t="s">
        <v>74</v>
      </c>
      <c r="AQ236" t="s">
        <v>74</v>
      </c>
      <c r="AR236" t="s">
        <v>3828</v>
      </c>
      <c r="AS236" t="s">
        <v>3839</v>
      </c>
      <c r="AT236" t="s">
        <v>3757</v>
      </c>
      <c r="AU236">
        <v>2006</v>
      </c>
      <c r="AV236">
        <v>48</v>
      </c>
      <c r="AW236">
        <v>2</v>
      </c>
      <c r="AX236" t="s">
        <v>74</v>
      </c>
      <c r="AY236" t="s">
        <v>74</v>
      </c>
      <c r="AZ236" t="s">
        <v>74</v>
      </c>
      <c r="BA236" t="s">
        <v>74</v>
      </c>
      <c r="BB236">
        <v>75</v>
      </c>
      <c r="BC236">
        <v>82</v>
      </c>
      <c r="BD236" t="s">
        <v>74</v>
      </c>
      <c r="BE236" t="s">
        <v>74</v>
      </c>
      <c r="BF236" t="s">
        <v>74</v>
      </c>
      <c r="BG236" t="s">
        <v>74</v>
      </c>
      <c r="BH236" t="s">
        <v>74</v>
      </c>
      <c r="BI236">
        <v>8</v>
      </c>
      <c r="BJ236" t="s">
        <v>3840</v>
      </c>
      <c r="BK236" t="s">
        <v>97</v>
      </c>
      <c r="BL236" t="s">
        <v>3840</v>
      </c>
      <c r="BM236" t="s">
        <v>3841</v>
      </c>
      <c r="BN236" t="s">
        <v>74</v>
      </c>
      <c r="BO236" t="s">
        <v>74</v>
      </c>
      <c r="BP236" t="s">
        <v>74</v>
      </c>
      <c r="BQ236" t="s">
        <v>74</v>
      </c>
      <c r="BR236" t="s">
        <v>100</v>
      </c>
      <c r="BS236" t="s">
        <v>3842</v>
      </c>
      <c r="BT236" t="str">
        <f>HYPERLINK("https%3A%2F%2Fwww.webofscience.com%2Fwos%2Fwoscc%2Ffull-record%2FWOS:000238784900002","View Full Record in Web of Science")</f>
        <v>View Full Record in Web of Science</v>
      </c>
    </row>
    <row r="237" spans="1:72" x14ac:dyDescent="0.15">
      <c r="A237" t="s">
        <v>72</v>
      </c>
      <c r="B237" t="s">
        <v>3843</v>
      </c>
      <c r="C237" t="s">
        <v>74</v>
      </c>
      <c r="D237" t="s">
        <v>74</v>
      </c>
      <c r="E237" t="s">
        <v>74</v>
      </c>
      <c r="F237" t="s">
        <v>3844</v>
      </c>
      <c r="G237" t="s">
        <v>74</v>
      </c>
      <c r="H237" t="s">
        <v>74</v>
      </c>
      <c r="I237" t="s">
        <v>3845</v>
      </c>
      <c r="J237" t="s">
        <v>1791</v>
      </c>
      <c r="K237" t="s">
        <v>74</v>
      </c>
      <c r="L237" t="s">
        <v>74</v>
      </c>
      <c r="M237" t="s">
        <v>78</v>
      </c>
      <c r="N237" t="s">
        <v>79</v>
      </c>
      <c r="O237" t="s">
        <v>74</v>
      </c>
      <c r="P237" t="s">
        <v>74</v>
      </c>
      <c r="Q237" t="s">
        <v>74</v>
      </c>
      <c r="R237" t="s">
        <v>74</v>
      </c>
      <c r="S237" t="s">
        <v>74</v>
      </c>
      <c r="T237" t="s">
        <v>3846</v>
      </c>
      <c r="U237" t="s">
        <v>3847</v>
      </c>
      <c r="V237" t="s">
        <v>3848</v>
      </c>
      <c r="W237" t="s">
        <v>3849</v>
      </c>
      <c r="X237" t="s">
        <v>3850</v>
      </c>
      <c r="Y237" t="s">
        <v>3851</v>
      </c>
      <c r="Z237" t="s">
        <v>3852</v>
      </c>
      <c r="AA237" t="s">
        <v>3853</v>
      </c>
      <c r="AB237" t="s">
        <v>3854</v>
      </c>
      <c r="AC237" t="s">
        <v>74</v>
      </c>
      <c r="AD237" t="s">
        <v>74</v>
      </c>
      <c r="AE237" t="s">
        <v>74</v>
      </c>
      <c r="AF237" t="s">
        <v>74</v>
      </c>
      <c r="AG237">
        <v>32</v>
      </c>
      <c r="AH237">
        <v>20</v>
      </c>
      <c r="AI237">
        <v>21</v>
      </c>
      <c r="AJ237">
        <v>0</v>
      </c>
      <c r="AK237">
        <v>6</v>
      </c>
      <c r="AL237" t="s">
        <v>1757</v>
      </c>
      <c r="AM237" t="s">
        <v>88</v>
      </c>
      <c r="AN237" t="s">
        <v>1758</v>
      </c>
      <c r="AO237" t="s">
        <v>1801</v>
      </c>
      <c r="AP237" t="s">
        <v>74</v>
      </c>
      <c r="AQ237" t="s">
        <v>74</v>
      </c>
      <c r="AR237" t="s">
        <v>1802</v>
      </c>
      <c r="AS237" t="s">
        <v>1803</v>
      </c>
      <c r="AT237" t="s">
        <v>3855</v>
      </c>
      <c r="AU237">
        <v>2006</v>
      </c>
      <c r="AV237">
        <v>7</v>
      </c>
      <c r="AW237" t="s">
        <v>74</v>
      </c>
      <c r="AX237" t="s">
        <v>74</v>
      </c>
      <c r="AY237" t="s">
        <v>74</v>
      </c>
      <c r="AZ237" t="s">
        <v>74</v>
      </c>
      <c r="BA237" t="s">
        <v>74</v>
      </c>
      <c r="BB237" t="s">
        <v>74</v>
      </c>
      <c r="BC237" t="s">
        <v>74</v>
      </c>
      <c r="BD237" t="s">
        <v>3856</v>
      </c>
      <c r="BE237" t="s">
        <v>3857</v>
      </c>
      <c r="BF237" t="str">
        <f>HYPERLINK("http://dx.doi.org/10.1029/2005GC001191","http://dx.doi.org/10.1029/2005GC001191")</f>
        <v>http://dx.doi.org/10.1029/2005GC001191</v>
      </c>
      <c r="BG237" t="s">
        <v>74</v>
      </c>
      <c r="BH237" t="s">
        <v>74</v>
      </c>
      <c r="BI237">
        <v>18</v>
      </c>
      <c r="BJ237" t="s">
        <v>608</v>
      </c>
      <c r="BK237" t="s">
        <v>97</v>
      </c>
      <c r="BL237" t="s">
        <v>608</v>
      </c>
      <c r="BM237" t="s">
        <v>3858</v>
      </c>
      <c r="BN237" t="s">
        <v>74</v>
      </c>
      <c r="BO237" t="s">
        <v>460</v>
      </c>
      <c r="BP237" t="s">
        <v>74</v>
      </c>
      <c r="BQ237" t="s">
        <v>74</v>
      </c>
      <c r="BR237" t="s">
        <v>100</v>
      </c>
      <c r="BS237" t="s">
        <v>3859</v>
      </c>
      <c r="BT237" t="str">
        <f>HYPERLINK("https%3A%2F%2Fwww.webofscience.com%2Fwos%2Fwoscc%2Ffull-record%2FWOS:000238935800001","View Full Record in Web of Science")</f>
        <v>View Full Record in Web of Science</v>
      </c>
    </row>
    <row r="238" spans="1:72" x14ac:dyDescent="0.15">
      <c r="A238" t="s">
        <v>72</v>
      </c>
      <c r="B238" t="s">
        <v>3860</v>
      </c>
      <c r="C238" t="s">
        <v>74</v>
      </c>
      <c r="D238" t="s">
        <v>74</v>
      </c>
      <c r="E238" t="s">
        <v>74</v>
      </c>
      <c r="F238" t="s">
        <v>3861</v>
      </c>
      <c r="G238" t="s">
        <v>74</v>
      </c>
      <c r="H238" t="s">
        <v>74</v>
      </c>
      <c r="I238" t="s">
        <v>3862</v>
      </c>
      <c r="J238" t="s">
        <v>1748</v>
      </c>
      <c r="K238" t="s">
        <v>74</v>
      </c>
      <c r="L238" t="s">
        <v>74</v>
      </c>
      <c r="M238" t="s">
        <v>78</v>
      </c>
      <c r="N238" t="s">
        <v>79</v>
      </c>
      <c r="O238" t="s">
        <v>74</v>
      </c>
      <c r="P238" t="s">
        <v>74</v>
      </c>
      <c r="Q238" t="s">
        <v>74</v>
      </c>
      <c r="R238" t="s">
        <v>74</v>
      </c>
      <c r="S238" t="s">
        <v>74</v>
      </c>
      <c r="T238" t="s">
        <v>74</v>
      </c>
      <c r="U238" t="s">
        <v>3863</v>
      </c>
      <c r="V238" t="s">
        <v>3864</v>
      </c>
      <c r="W238" t="s">
        <v>3865</v>
      </c>
      <c r="X238" t="s">
        <v>3866</v>
      </c>
      <c r="Y238" t="s">
        <v>3867</v>
      </c>
      <c r="Z238" t="s">
        <v>3868</v>
      </c>
      <c r="AA238" t="s">
        <v>74</v>
      </c>
      <c r="AB238" t="s">
        <v>74</v>
      </c>
      <c r="AC238" t="s">
        <v>74</v>
      </c>
      <c r="AD238" t="s">
        <v>74</v>
      </c>
      <c r="AE238" t="s">
        <v>74</v>
      </c>
      <c r="AF238" t="s">
        <v>74</v>
      </c>
      <c r="AG238">
        <v>13</v>
      </c>
      <c r="AH238">
        <v>75</v>
      </c>
      <c r="AI238">
        <v>84</v>
      </c>
      <c r="AJ238">
        <v>1</v>
      </c>
      <c r="AK238">
        <v>27</v>
      </c>
      <c r="AL238" t="s">
        <v>1757</v>
      </c>
      <c r="AM238" t="s">
        <v>88</v>
      </c>
      <c r="AN238" t="s">
        <v>1758</v>
      </c>
      <c r="AO238" t="s">
        <v>1759</v>
      </c>
      <c r="AP238" t="s">
        <v>1760</v>
      </c>
      <c r="AQ238" t="s">
        <v>74</v>
      </c>
      <c r="AR238" t="s">
        <v>1761</v>
      </c>
      <c r="AS238" t="s">
        <v>1762</v>
      </c>
      <c r="AT238" t="s">
        <v>3869</v>
      </c>
      <c r="AU238">
        <v>2006</v>
      </c>
      <c r="AV238">
        <v>33</v>
      </c>
      <c r="AW238">
        <v>12</v>
      </c>
      <c r="AX238" t="s">
        <v>74</v>
      </c>
      <c r="AY238" t="s">
        <v>74</v>
      </c>
      <c r="AZ238" t="s">
        <v>74</v>
      </c>
      <c r="BA238" t="s">
        <v>74</v>
      </c>
      <c r="BB238" t="s">
        <v>74</v>
      </c>
      <c r="BC238" t="s">
        <v>74</v>
      </c>
      <c r="BD238" t="s">
        <v>3870</v>
      </c>
      <c r="BE238" t="s">
        <v>3871</v>
      </c>
      <c r="BF238" t="str">
        <f>HYPERLINK("http://dx.doi.org/10.1029/2006GL026357","http://dx.doi.org/10.1029/2006GL026357")</f>
        <v>http://dx.doi.org/10.1029/2006GL026357</v>
      </c>
      <c r="BG238" t="s">
        <v>74</v>
      </c>
      <c r="BH238" t="s">
        <v>74</v>
      </c>
      <c r="BI238">
        <v>4</v>
      </c>
      <c r="BJ238" t="s">
        <v>527</v>
      </c>
      <c r="BK238" t="s">
        <v>97</v>
      </c>
      <c r="BL238" t="s">
        <v>528</v>
      </c>
      <c r="BM238" t="s">
        <v>3872</v>
      </c>
      <c r="BN238" t="s">
        <v>74</v>
      </c>
      <c r="BO238" t="s">
        <v>460</v>
      </c>
      <c r="BP238" t="s">
        <v>74</v>
      </c>
      <c r="BQ238" t="s">
        <v>74</v>
      </c>
      <c r="BR238" t="s">
        <v>100</v>
      </c>
      <c r="BS238" t="s">
        <v>3873</v>
      </c>
      <c r="BT238" t="str">
        <f>HYPERLINK("https%3A%2F%2Fwww.webofscience.com%2Fwos%2Fwoscc%2Ffull-record%2FWOS:000238936900005","View Full Record in Web of Science")</f>
        <v>View Full Record in Web of Science</v>
      </c>
    </row>
    <row r="239" spans="1:72" x14ac:dyDescent="0.15">
      <c r="A239" t="s">
        <v>72</v>
      </c>
      <c r="B239" t="s">
        <v>3874</v>
      </c>
      <c r="C239" t="s">
        <v>74</v>
      </c>
      <c r="D239" t="s">
        <v>74</v>
      </c>
      <c r="E239" t="s">
        <v>74</v>
      </c>
      <c r="F239" t="s">
        <v>3875</v>
      </c>
      <c r="G239" t="s">
        <v>74</v>
      </c>
      <c r="H239" t="s">
        <v>74</v>
      </c>
      <c r="I239" t="s">
        <v>3876</v>
      </c>
      <c r="J239" t="s">
        <v>3877</v>
      </c>
      <c r="K239" t="s">
        <v>74</v>
      </c>
      <c r="L239" t="s">
        <v>74</v>
      </c>
      <c r="M239" t="s">
        <v>78</v>
      </c>
      <c r="N239" t="s">
        <v>79</v>
      </c>
      <c r="O239" t="s">
        <v>74</v>
      </c>
      <c r="P239" t="s">
        <v>74</v>
      </c>
      <c r="Q239" t="s">
        <v>74</v>
      </c>
      <c r="R239" t="s">
        <v>74</v>
      </c>
      <c r="S239" t="s">
        <v>74</v>
      </c>
      <c r="T239" t="s">
        <v>74</v>
      </c>
      <c r="U239" t="s">
        <v>3878</v>
      </c>
      <c r="V239" t="s">
        <v>3879</v>
      </c>
      <c r="W239" t="s">
        <v>3880</v>
      </c>
      <c r="X239" t="s">
        <v>3881</v>
      </c>
      <c r="Y239" t="s">
        <v>3882</v>
      </c>
      <c r="Z239" t="s">
        <v>3883</v>
      </c>
      <c r="AA239" t="s">
        <v>3884</v>
      </c>
      <c r="AB239" t="s">
        <v>3885</v>
      </c>
      <c r="AC239" t="s">
        <v>74</v>
      </c>
      <c r="AD239" t="s">
        <v>74</v>
      </c>
      <c r="AE239" t="s">
        <v>74</v>
      </c>
      <c r="AF239" t="s">
        <v>74</v>
      </c>
      <c r="AG239">
        <v>61</v>
      </c>
      <c r="AH239">
        <v>18</v>
      </c>
      <c r="AI239">
        <v>20</v>
      </c>
      <c r="AJ239">
        <v>1</v>
      </c>
      <c r="AK239">
        <v>34</v>
      </c>
      <c r="AL239" t="s">
        <v>1757</v>
      </c>
      <c r="AM239" t="s">
        <v>88</v>
      </c>
      <c r="AN239" t="s">
        <v>1758</v>
      </c>
      <c r="AO239" t="s">
        <v>3886</v>
      </c>
      <c r="AP239" t="s">
        <v>3887</v>
      </c>
      <c r="AQ239" t="s">
        <v>74</v>
      </c>
      <c r="AR239" t="s">
        <v>3888</v>
      </c>
      <c r="AS239" t="s">
        <v>3889</v>
      </c>
      <c r="AT239" t="s">
        <v>3869</v>
      </c>
      <c r="AU239">
        <v>2006</v>
      </c>
      <c r="AV239">
        <v>20</v>
      </c>
      <c r="AW239">
        <v>2</v>
      </c>
      <c r="AX239" t="s">
        <v>74</v>
      </c>
      <c r="AY239" t="s">
        <v>74</v>
      </c>
      <c r="AZ239" t="s">
        <v>74</v>
      </c>
      <c r="BA239" t="s">
        <v>74</v>
      </c>
      <c r="BB239" t="s">
        <v>74</v>
      </c>
      <c r="BC239" t="s">
        <v>74</v>
      </c>
      <c r="BD239" t="s">
        <v>3890</v>
      </c>
      <c r="BE239" t="s">
        <v>3891</v>
      </c>
      <c r="BF239" t="str">
        <f>HYPERLINK("http://dx.doi.org/10.1029/2005GB002518","http://dx.doi.org/10.1029/2005GB002518")</f>
        <v>http://dx.doi.org/10.1029/2005GB002518</v>
      </c>
      <c r="BG239" t="s">
        <v>74</v>
      </c>
      <c r="BH239" t="s">
        <v>74</v>
      </c>
      <c r="BI239">
        <v>11</v>
      </c>
      <c r="BJ239" t="s">
        <v>3892</v>
      </c>
      <c r="BK239" t="s">
        <v>97</v>
      </c>
      <c r="BL239" t="s">
        <v>3893</v>
      </c>
      <c r="BM239" t="s">
        <v>3894</v>
      </c>
      <c r="BN239" t="s">
        <v>74</v>
      </c>
      <c r="BO239" t="s">
        <v>74</v>
      </c>
      <c r="BP239" t="s">
        <v>74</v>
      </c>
      <c r="BQ239" t="s">
        <v>74</v>
      </c>
      <c r="BR239" t="s">
        <v>100</v>
      </c>
      <c r="BS239" t="s">
        <v>3895</v>
      </c>
      <c r="BT239" t="str">
        <f>HYPERLINK("https%3A%2F%2Fwww.webofscience.com%2Fwos%2Fwoscc%2Ffull-record%2FWOS:000238938000001","View Full Record in Web of Science")</f>
        <v>View Full Record in Web of Science</v>
      </c>
    </row>
    <row r="240" spans="1:72" x14ac:dyDescent="0.15">
      <c r="A240" t="s">
        <v>72</v>
      </c>
      <c r="B240" t="s">
        <v>3896</v>
      </c>
      <c r="C240" t="s">
        <v>74</v>
      </c>
      <c r="D240" t="s">
        <v>74</v>
      </c>
      <c r="E240" t="s">
        <v>74</v>
      </c>
      <c r="F240" t="s">
        <v>3897</v>
      </c>
      <c r="G240" t="s">
        <v>74</v>
      </c>
      <c r="H240" t="s">
        <v>74</v>
      </c>
      <c r="I240" t="s">
        <v>3898</v>
      </c>
      <c r="J240" t="s">
        <v>3899</v>
      </c>
      <c r="K240" t="s">
        <v>74</v>
      </c>
      <c r="L240" t="s">
        <v>74</v>
      </c>
      <c r="M240" t="s">
        <v>78</v>
      </c>
      <c r="N240" t="s">
        <v>511</v>
      </c>
      <c r="O240" t="s">
        <v>74</v>
      </c>
      <c r="P240" t="s">
        <v>74</v>
      </c>
      <c r="Q240" t="s">
        <v>74</v>
      </c>
      <c r="R240" t="s">
        <v>74</v>
      </c>
      <c r="S240" t="s">
        <v>74</v>
      </c>
      <c r="T240" t="s">
        <v>3900</v>
      </c>
      <c r="U240" t="s">
        <v>3901</v>
      </c>
      <c r="V240" t="s">
        <v>3902</v>
      </c>
      <c r="W240" t="s">
        <v>3903</v>
      </c>
      <c r="X240" t="s">
        <v>3904</v>
      </c>
      <c r="Y240" t="s">
        <v>3905</v>
      </c>
      <c r="Z240" t="s">
        <v>3906</v>
      </c>
      <c r="AA240" t="s">
        <v>3907</v>
      </c>
      <c r="AB240" t="s">
        <v>3908</v>
      </c>
      <c r="AC240" t="s">
        <v>3909</v>
      </c>
      <c r="AD240" t="s">
        <v>2873</v>
      </c>
      <c r="AE240" t="s">
        <v>74</v>
      </c>
      <c r="AF240" t="s">
        <v>74</v>
      </c>
      <c r="AG240">
        <v>125</v>
      </c>
      <c r="AH240">
        <v>34</v>
      </c>
      <c r="AI240">
        <v>39</v>
      </c>
      <c r="AJ240">
        <v>1</v>
      </c>
      <c r="AK240">
        <v>13</v>
      </c>
      <c r="AL240" t="s">
        <v>1261</v>
      </c>
      <c r="AM240" t="s">
        <v>520</v>
      </c>
      <c r="AN240" t="s">
        <v>1262</v>
      </c>
      <c r="AO240" t="s">
        <v>3910</v>
      </c>
      <c r="AP240" t="s">
        <v>3911</v>
      </c>
      <c r="AQ240" t="s">
        <v>74</v>
      </c>
      <c r="AR240" t="s">
        <v>3912</v>
      </c>
      <c r="AS240" t="s">
        <v>3913</v>
      </c>
      <c r="AT240" t="s">
        <v>3914</v>
      </c>
      <c r="AU240">
        <v>2006</v>
      </c>
      <c r="AV240">
        <v>60</v>
      </c>
      <c r="AW240">
        <v>1</v>
      </c>
      <c r="AX240" t="s">
        <v>74</v>
      </c>
      <c r="AY240" t="s">
        <v>74</v>
      </c>
      <c r="AZ240" t="s">
        <v>74</v>
      </c>
      <c r="BA240" t="s">
        <v>74</v>
      </c>
      <c r="BB240">
        <v>66</v>
      </c>
      <c r="BC240">
        <v>88</v>
      </c>
      <c r="BD240" t="s">
        <v>74</v>
      </c>
      <c r="BE240" t="s">
        <v>3915</v>
      </c>
      <c r="BF240" t="str">
        <f>HYPERLINK("http://dx.doi.org/10.1016/j.marmicro.2006.03.001","http://dx.doi.org/10.1016/j.marmicro.2006.03.001")</f>
        <v>http://dx.doi.org/10.1016/j.marmicro.2006.03.001</v>
      </c>
      <c r="BG240" t="s">
        <v>74</v>
      </c>
      <c r="BH240" t="s">
        <v>74</v>
      </c>
      <c r="BI240">
        <v>23</v>
      </c>
      <c r="BJ240" t="s">
        <v>3916</v>
      </c>
      <c r="BK240" t="s">
        <v>97</v>
      </c>
      <c r="BL240" t="s">
        <v>3916</v>
      </c>
      <c r="BM240" t="s">
        <v>3917</v>
      </c>
      <c r="BN240" t="s">
        <v>74</v>
      </c>
      <c r="BO240" t="s">
        <v>74</v>
      </c>
      <c r="BP240" t="s">
        <v>74</v>
      </c>
      <c r="BQ240" t="s">
        <v>74</v>
      </c>
      <c r="BR240" t="s">
        <v>100</v>
      </c>
      <c r="BS240" t="s">
        <v>3918</v>
      </c>
      <c r="BT240" t="str">
        <f>HYPERLINK("https%3A%2F%2Fwww.webofscience.com%2Fwos%2Fwoscc%2Ffull-record%2FWOS:000238806800004","View Full Record in Web of Science")</f>
        <v>View Full Record in Web of Science</v>
      </c>
    </row>
    <row r="241" spans="1:72" x14ac:dyDescent="0.15">
      <c r="A241" t="s">
        <v>72</v>
      </c>
      <c r="B241" t="s">
        <v>3919</v>
      </c>
      <c r="C241" t="s">
        <v>74</v>
      </c>
      <c r="D241" t="s">
        <v>74</v>
      </c>
      <c r="E241" t="s">
        <v>74</v>
      </c>
      <c r="F241" t="s">
        <v>3920</v>
      </c>
      <c r="G241" t="s">
        <v>74</v>
      </c>
      <c r="H241" t="s">
        <v>74</v>
      </c>
      <c r="I241" t="s">
        <v>3921</v>
      </c>
      <c r="J241" t="s">
        <v>3922</v>
      </c>
      <c r="K241" t="s">
        <v>74</v>
      </c>
      <c r="L241" t="s">
        <v>74</v>
      </c>
      <c r="M241" t="s">
        <v>78</v>
      </c>
      <c r="N241" t="s">
        <v>79</v>
      </c>
      <c r="O241" t="s">
        <v>74</v>
      </c>
      <c r="P241" t="s">
        <v>74</v>
      </c>
      <c r="Q241" t="s">
        <v>74</v>
      </c>
      <c r="R241" t="s">
        <v>74</v>
      </c>
      <c r="S241" t="s">
        <v>74</v>
      </c>
      <c r="T241" t="s">
        <v>74</v>
      </c>
      <c r="U241" t="s">
        <v>3923</v>
      </c>
      <c r="V241" t="s">
        <v>74</v>
      </c>
      <c r="W241" t="s">
        <v>3924</v>
      </c>
      <c r="X241" t="s">
        <v>3925</v>
      </c>
      <c r="Y241" t="s">
        <v>3926</v>
      </c>
      <c r="Z241" t="s">
        <v>3927</v>
      </c>
      <c r="AA241" t="s">
        <v>74</v>
      </c>
      <c r="AB241" t="s">
        <v>74</v>
      </c>
      <c r="AC241" t="s">
        <v>74</v>
      </c>
      <c r="AD241" t="s">
        <v>74</v>
      </c>
      <c r="AE241" t="s">
        <v>74</v>
      </c>
      <c r="AF241" t="s">
        <v>74</v>
      </c>
      <c r="AG241">
        <v>15</v>
      </c>
      <c r="AH241">
        <v>7</v>
      </c>
      <c r="AI241">
        <v>7</v>
      </c>
      <c r="AJ241">
        <v>0</v>
      </c>
      <c r="AK241">
        <v>2</v>
      </c>
      <c r="AL241" t="s">
        <v>914</v>
      </c>
      <c r="AM241" t="s">
        <v>915</v>
      </c>
      <c r="AN241" t="s">
        <v>916</v>
      </c>
      <c r="AO241" t="s">
        <v>3928</v>
      </c>
      <c r="AP241" t="s">
        <v>74</v>
      </c>
      <c r="AQ241" t="s">
        <v>74</v>
      </c>
      <c r="AR241" t="s">
        <v>3929</v>
      </c>
      <c r="AS241" t="s">
        <v>3930</v>
      </c>
      <c r="AT241" t="s">
        <v>3931</v>
      </c>
      <c r="AU241">
        <v>2006</v>
      </c>
      <c r="AV241">
        <v>90</v>
      </c>
      <c r="AW241">
        <v>12</v>
      </c>
      <c r="AX241" t="s">
        <v>74</v>
      </c>
      <c r="AY241" t="s">
        <v>74</v>
      </c>
      <c r="AZ241" t="s">
        <v>74</v>
      </c>
      <c r="BA241" t="s">
        <v>74</v>
      </c>
      <c r="BB241">
        <v>1603</v>
      </c>
      <c r="BC241">
        <v>1605</v>
      </c>
      <c r="BD241" t="s">
        <v>74</v>
      </c>
      <c r="BE241" t="s">
        <v>74</v>
      </c>
      <c r="BF241" t="s">
        <v>74</v>
      </c>
      <c r="BG241" t="s">
        <v>74</v>
      </c>
      <c r="BH241" t="s">
        <v>74</v>
      </c>
      <c r="BI241">
        <v>3</v>
      </c>
      <c r="BJ241" t="s">
        <v>1841</v>
      </c>
      <c r="BK241" t="s">
        <v>97</v>
      </c>
      <c r="BL241" t="s">
        <v>1842</v>
      </c>
      <c r="BM241" t="s">
        <v>3932</v>
      </c>
      <c r="BN241" t="s">
        <v>74</v>
      </c>
      <c r="BO241" t="s">
        <v>74</v>
      </c>
      <c r="BP241" t="s">
        <v>74</v>
      </c>
      <c r="BQ241" t="s">
        <v>74</v>
      </c>
      <c r="BR241" t="s">
        <v>100</v>
      </c>
      <c r="BS241" t="s">
        <v>3933</v>
      </c>
      <c r="BT241" t="str">
        <f>HYPERLINK("https%3A%2F%2Fwww.webofscience.com%2Fwos%2Fwoscc%2Ffull-record%2FWOS:000238873300014","View Full Record in Web of Science")</f>
        <v>View Full Record in Web of Science</v>
      </c>
    </row>
    <row r="242" spans="1:72" x14ac:dyDescent="0.15">
      <c r="A242" t="s">
        <v>72</v>
      </c>
      <c r="B242" t="s">
        <v>3934</v>
      </c>
      <c r="C242" t="s">
        <v>74</v>
      </c>
      <c r="D242" t="s">
        <v>74</v>
      </c>
      <c r="E242" t="s">
        <v>74</v>
      </c>
      <c r="F242" t="s">
        <v>3935</v>
      </c>
      <c r="G242" t="s">
        <v>74</v>
      </c>
      <c r="H242" t="s">
        <v>74</v>
      </c>
      <c r="I242" t="s">
        <v>3936</v>
      </c>
      <c r="J242" t="s">
        <v>3922</v>
      </c>
      <c r="K242" t="s">
        <v>74</v>
      </c>
      <c r="L242" t="s">
        <v>74</v>
      </c>
      <c r="M242" t="s">
        <v>78</v>
      </c>
      <c r="N242" t="s">
        <v>79</v>
      </c>
      <c r="O242" t="s">
        <v>74</v>
      </c>
      <c r="P242" t="s">
        <v>74</v>
      </c>
      <c r="Q242" t="s">
        <v>74</v>
      </c>
      <c r="R242" t="s">
        <v>74</v>
      </c>
      <c r="S242" t="s">
        <v>74</v>
      </c>
      <c r="T242" t="s">
        <v>3937</v>
      </c>
      <c r="U242" t="s">
        <v>3938</v>
      </c>
      <c r="V242" t="s">
        <v>3939</v>
      </c>
      <c r="W242" t="s">
        <v>3940</v>
      </c>
      <c r="X242" t="s">
        <v>3941</v>
      </c>
      <c r="Y242" t="s">
        <v>3942</v>
      </c>
      <c r="Z242" t="s">
        <v>3943</v>
      </c>
      <c r="AA242" t="s">
        <v>74</v>
      </c>
      <c r="AB242" t="s">
        <v>74</v>
      </c>
      <c r="AC242" t="s">
        <v>74</v>
      </c>
      <c r="AD242" t="s">
        <v>74</v>
      </c>
      <c r="AE242" t="s">
        <v>74</v>
      </c>
      <c r="AF242" t="s">
        <v>74</v>
      </c>
      <c r="AG242">
        <v>28</v>
      </c>
      <c r="AH242">
        <v>5</v>
      </c>
      <c r="AI242">
        <v>5</v>
      </c>
      <c r="AJ242">
        <v>0</v>
      </c>
      <c r="AK242">
        <v>6</v>
      </c>
      <c r="AL242" t="s">
        <v>3944</v>
      </c>
      <c r="AM242" t="s">
        <v>915</v>
      </c>
      <c r="AN242" t="s">
        <v>3945</v>
      </c>
      <c r="AO242" t="s">
        <v>3928</v>
      </c>
      <c r="AP242" t="s">
        <v>74</v>
      </c>
      <c r="AQ242" t="s">
        <v>74</v>
      </c>
      <c r="AR242" t="s">
        <v>3929</v>
      </c>
      <c r="AS242" t="s">
        <v>3930</v>
      </c>
      <c r="AT242" t="s">
        <v>3931</v>
      </c>
      <c r="AU242">
        <v>2006</v>
      </c>
      <c r="AV242">
        <v>90</v>
      </c>
      <c r="AW242">
        <v>12</v>
      </c>
      <c r="AX242" t="s">
        <v>74</v>
      </c>
      <c r="AY242" t="s">
        <v>74</v>
      </c>
      <c r="AZ242" t="s">
        <v>74</v>
      </c>
      <c r="BA242" t="s">
        <v>74</v>
      </c>
      <c r="BB242">
        <v>1685</v>
      </c>
      <c r="BC242">
        <v>1688</v>
      </c>
      <c r="BD242" t="s">
        <v>74</v>
      </c>
      <c r="BE242" t="s">
        <v>74</v>
      </c>
      <c r="BF242" t="s">
        <v>74</v>
      </c>
      <c r="BG242" t="s">
        <v>74</v>
      </c>
      <c r="BH242" t="s">
        <v>74</v>
      </c>
      <c r="BI242">
        <v>4</v>
      </c>
      <c r="BJ242" t="s">
        <v>1841</v>
      </c>
      <c r="BK242" t="s">
        <v>97</v>
      </c>
      <c r="BL242" t="s">
        <v>1842</v>
      </c>
      <c r="BM242" t="s">
        <v>3932</v>
      </c>
      <c r="BN242" t="s">
        <v>74</v>
      </c>
      <c r="BO242" t="s">
        <v>74</v>
      </c>
      <c r="BP242" t="s">
        <v>74</v>
      </c>
      <c r="BQ242" t="s">
        <v>74</v>
      </c>
      <c r="BR242" t="s">
        <v>100</v>
      </c>
      <c r="BS242" t="s">
        <v>3946</v>
      </c>
      <c r="BT242" t="str">
        <f>HYPERLINK("https%3A%2F%2Fwww.webofscience.com%2Fwos%2Fwoscc%2Ffull-record%2FWOS:000238873300027","View Full Record in Web of Science")</f>
        <v>View Full Record in Web of Science</v>
      </c>
    </row>
    <row r="243" spans="1:72" x14ac:dyDescent="0.15">
      <c r="A243" t="s">
        <v>72</v>
      </c>
      <c r="B243" t="s">
        <v>711</v>
      </c>
      <c r="C243" t="s">
        <v>74</v>
      </c>
      <c r="D243" t="s">
        <v>74</v>
      </c>
      <c r="E243" t="s">
        <v>74</v>
      </c>
      <c r="F243" t="s">
        <v>3947</v>
      </c>
      <c r="G243" t="s">
        <v>74</v>
      </c>
      <c r="H243" t="s">
        <v>74</v>
      </c>
      <c r="I243" t="s">
        <v>3948</v>
      </c>
      <c r="J243" t="s">
        <v>1748</v>
      </c>
      <c r="K243" t="s">
        <v>74</v>
      </c>
      <c r="L243" t="s">
        <v>74</v>
      </c>
      <c r="M243" t="s">
        <v>78</v>
      </c>
      <c r="N243" t="s">
        <v>79</v>
      </c>
      <c r="O243" t="s">
        <v>74</v>
      </c>
      <c r="P243" t="s">
        <v>74</v>
      </c>
      <c r="Q243" t="s">
        <v>74</v>
      </c>
      <c r="R243" t="s">
        <v>74</v>
      </c>
      <c r="S243" t="s">
        <v>74</v>
      </c>
      <c r="T243" t="s">
        <v>74</v>
      </c>
      <c r="U243" t="s">
        <v>3949</v>
      </c>
      <c r="V243" t="s">
        <v>3950</v>
      </c>
      <c r="W243" t="s">
        <v>3951</v>
      </c>
      <c r="X243" t="s">
        <v>3952</v>
      </c>
      <c r="Y243" t="s">
        <v>3953</v>
      </c>
      <c r="Z243" t="s">
        <v>716</v>
      </c>
      <c r="AA243" t="s">
        <v>74</v>
      </c>
      <c r="AB243" t="s">
        <v>3954</v>
      </c>
      <c r="AC243" t="s">
        <v>74</v>
      </c>
      <c r="AD243" t="s">
        <v>74</v>
      </c>
      <c r="AE243" t="s">
        <v>74</v>
      </c>
      <c r="AF243" t="s">
        <v>74</v>
      </c>
      <c r="AG243">
        <v>20</v>
      </c>
      <c r="AH243">
        <v>23</v>
      </c>
      <c r="AI243">
        <v>24</v>
      </c>
      <c r="AJ243">
        <v>0</v>
      </c>
      <c r="AK243">
        <v>13</v>
      </c>
      <c r="AL243" t="s">
        <v>1757</v>
      </c>
      <c r="AM243" t="s">
        <v>88</v>
      </c>
      <c r="AN243" t="s">
        <v>1758</v>
      </c>
      <c r="AO243" t="s">
        <v>1759</v>
      </c>
      <c r="AP243" t="s">
        <v>1760</v>
      </c>
      <c r="AQ243" t="s">
        <v>74</v>
      </c>
      <c r="AR243" t="s">
        <v>1761</v>
      </c>
      <c r="AS243" t="s">
        <v>1762</v>
      </c>
      <c r="AT243" t="s">
        <v>3955</v>
      </c>
      <c r="AU243">
        <v>2006</v>
      </c>
      <c r="AV243">
        <v>33</v>
      </c>
      <c r="AW243">
        <v>12</v>
      </c>
      <c r="AX243" t="s">
        <v>74</v>
      </c>
      <c r="AY243" t="s">
        <v>74</v>
      </c>
      <c r="AZ243" t="s">
        <v>74</v>
      </c>
      <c r="BA243" t="s">
        <v>74</v>
      </c>
      <c r="BB243" t="s">
        <v>74</v>
      </c>
      <c r="BC243" t="s">
        <v>74</v>
      </c>
      <c r="BD243" t="s">
        <v>3956</v>
      </c>
      <c r="BE243" t="s">
        <v>3957</v>
      </c>
      <c r="BF243" t="str">
        <f>HYPERLINK("http://dx.doi.org/10.1029/2006GL026020","http://dx.doi.org/10.1029/2006GL026020")</f>
        <v>http://dx.doi.org/10.1029/2006GL026020</v>
      </c>
      <c r="BG243" t="s">
        <v>74</v>
      </c>
      <c r="BH243" t="s">
        <v>74</v>
      </c>
      <c r="BI243">
        <v>5</v>
      </c>
      <c r="BJ243" t="s">
        <v>527</v>
      </c>
      <c r="BK243" t="s">
        <v>97</v>
      </c>
      <c r="BL243" t="s">
        <v>528</v>
      </c>
      <c r="BM243" t="s">
        <v>3958</v>
      </c>
      <c r="BN243" t="s">
        <v>74</v>
      </c>
      <c r="BO243" t="s">
        <v>74</v>
      </c>
      <c r="BP243" t="s">
        <v>74</v>
      </c>
      <c r="BQ243" t="s">
        <v>74</v>
      </c>
      <c r="BR243" t="s">
        <v>100</v>
      </c>
      <c r="BS243" t="s">
        <v>3959</v>
      </c>
      <c r="BT243" t="str">
        <f>HYPERLINK("https%3A%2F%2Fwww.webofscience.com%2Fwos%2Fwoscc%2Ffull-record%2FWOS:000238597800002","View Full Record in Web of Science")</f>
        <v>View Full Record in Web of Science</v>
      </c>
    </row>
    <row r="244" spans="1:72" x14ac:dyDescent="0.15">
      <c r="A244" t="s">
        <v>72</v>
      </c>
      <c r="B244" t="s">
        <v>3960</v>
      </c>
      <c r="C244" t="s">
        <v>74</v>
      </c>
      <c r="D244" t="s">
        <v>74</v>
      </c>
      <c r="E244" t="s">
        <v>74</v>
      </c>
      <c r="F244" t="s">
        <v>3961</v>
      </c>
      <c r="G244" t="s">
        <v>74</v>
      </c>
      <c r="H244" t="s">
        <v>74</v>
      </c>
      <c r="I244" t="s">
        <v>3962</v>
      </c>
      <c r="J244" t="s">
        <v>3963</v>
      </c>
      <c r="K244" t="s">
        <v>74</v>
      </c>
      <c r="L244" t="s">
        <v>74</v>
      </c>
      <c r="M244" t="s">
        <v>78</v>
      </c>
      <c r="N244" t="s">
        <v>1226</v>
      </c>
      <c r="O244" t="s">
        <v>3964</v>
      </c>
      <c r="P244" t="s">
        <v>3965</v>
      </c>
      <c r="Q244" t="s">
        <v>3966</v>
      </c>
      <c r="R244" t="s">
        <v>74</v>
      </c>
      <c r="S244" t="s">
        <v>74</v>
      </c>
      <c r="T244" t="s">
        <v>3967</v>
      </c>
      <c r="U244" t="s">
        <v>3968</v>
      </c>
      <c r="V244" t="s">
        <v>3969</v>
      </c>
      <c r="W244" t="s">
        <v>3970</v>
      </c>
      <c r="X244" t="s">
        <v>3971</v>
      </c>
      <c r="Y244" t="s">
        <v>3972</v>
      </c>
      <c r="Z244" t="s">
        <v>3973</v>
      </c>
      <c r="AA244" t="s">
        <v>3974</v>
      </c>
      <c r="AB244" t="s">
        <v>3975</v>
      </c>
      <c r="AC244" t="s">
        <v>74</v>
      </c>
      <c r="AD244" t="s">
        <v>74</v>
      </c>
      <c r="AE244" t="s">
        <v>74</v>
      </c>
      <c r="AF244" t="s">
        <v>74</v>
      </c>
      <c r="AG244">
        <v>66</v>
      </c>
      <c r="AH244">
        <v>134</v>
      </c>
      <c r="AI244">
        <v>169</v>
      </c>
      <c r="AJ244">
        <v>4</v>
      </c>
      <c r="AK244">
        <v>95</v>
      </c>
      <c r="AL244" t="s">
        <v>1261</v>
      </c>
      <c r="AM244" t="s">
        <v>520</v>
      </c>
      <c r="AN244" t="s">
        <v>1262</v>
      </c>
      <c r="AO244" t="s">
        <v>3976</v>
      </c>
      <c r="AP244" t="s">
        <v>3977</v>
      </c>
      <c r="AQ244" t="s">
        <v>74</v>
      </c>
      <c r="AR244" t="s">
        <v>3978</v>
      </c>
      <c r="AS244" t="s">
        <v>3979</v>
      </c>
      <c r="AT244" t="s">
        <v>3980</v>
      </c>
      <c r="AU244">
        <v>2006</v>
      </c>
      <c r="AV244">
        <v>236</v>
      </c>
      <c r="AW244" t="s">
        <v>765</v>
      </c>
      <c r="AX244" t="s">
        <v>74</v>
      </c>
      <c r="AY244" t="s">
        <v>74</v>
      </c>
      <c r="AZ244" t="s">
        <v>74</v>
      </c>
      <c r="BA244" t="s">
        <v>74</v>
      </c>
      <c r="BB244">
        <v>20</v>
      </c>
      <c r="BC244">
        <v>38</v>
      </c>
      <c r="BD244" t="s">
        <v>74</v>
      </c>
      <c r="BE244" t="s">
        <v>3981</v>
      </c>
      <c r="BF244" t="str">
        <f>HYPERLINK("http://dx.doi.org/10.1016/j.palaeo.2005.11.042","http://dx.doi.org/10.1016/j.palaeo.2005.11.042")</f>
        <v>http://dx.doi.org/10.1016/j.palaeo.2005.11.042</v>
      </c>
      <c r="BG244" t="s">
        <v>74</v>
      </c>
      <c r="BH244" t="s">
        <v>74</v>
      </c>
      <c r="BI244">
        <v>19</v>
      </c>
      <c r="BJ244" t="s">
        <v>3982</v>
      </c>
      <c r="BK244" t="s">
        <v>668</v>
      </c>
      <c r="BL244" t="s">
        <v>3983</v>
      </c>
      <c r="BM244" t="s">
        <v>3984</v>
      </c>
      <c r="BN244" t="s">
        <v>74</v>
      </c>
      <c r="BO244" t="s">
        <v>74</v>
      </c>
      <c r="BP244" t="s">
        <v>74</v>
      </c>
      <c r="BQ244" t="s">
        <v>74</v>
      </c>
      <c r="BR244" t="s">
        <v>100</v>
      </c>
      <c r="BS244" t="s">
        <v>3985</v>
      </c>
      <c r="BT244" t="str">
        <f>HYPERLINK("https%3A%2F%2Fwww.webofscience.com%2Fwos%2Fwoscc%2Ffull-record%2FWOS:000238746200003","View Full Record in Web of Science")</f>
        <v>View Full Record in Web of Science</v>
      </c>
    </row>
    <row r="245" spans="1:72" x14ac:dyDescent="0.15">
      <c r="A245" t="s">
        <v>72</v>
      </c>
      <c r="B245" t="s">
        <v>3986</v>
      </c>
      <c r="C245" t="s">
        <v>74</v>
      </c>
      <c r="D245" t="s">
        <v>74</v>
      </c>
      <c r="E245" t="s">
        <v>74</v>
      </c>
      <c r="F245" t="s">
        <v>3987</v>
      </c>
      <c r="G245" t="s">
        <v>74</v>
      </c>
      <c r="H245" t="s">
        <v>74</v>
      </c>
      <c r="I245" t="s">
        <v>3988</v>
      </c>
      <c r="J245" t="s">
        <v>3989</v>
      </c>
      <c r="K245" t="s">
        <v>74</v>
      </c>
      <c r="L245" t="s">
        <v>74</v>
      </c>
      <c r="M245" t="s">
        <v>78</v>
      </c>
      <c r="N245" t="s">
        <v>79</v>
      </c>
      <c r="O245" t="s">
        <v>74</v>
      </c>
      <c r="P245" t="s">
        <v>74</v>
      </c>
      <c r="Q245" t="s">
        <v>74</v>
      </c>
      <c r="R245" t="s">
        <v>74</v>
      </c>
      <c r="S245" t="s">
        <v>74</v>
      </c>
      <c r="T245" t="s">
        <v>3990</v>
      </c>
      <c r="U245" t="s">
        <v>3991</v>
      </c>
      <c r="V245" t="s">
        <v>3992</v>
      </c>
      <c r="W245" t="s">
        <v>3993</v>
      </c>
      <c r="X245" t="s">
        <v>3994</v>
      </c>
      <c r="Y245" t="s">
        <v>3995</v>
      </c>
      <c r="Z245" t="s">
        <v>3996</v>
      </c>
      <c r="AA245" t="s">
        <v>74</v>
      </c>
      <c r="AB245" t="s">
        <v>74</v>
      </c>
      <c r="AC245" t="s">
        <v>2531</v>
      </c>
      <c r="AD245" t="s">
        <v>413</v>
      </c>
      <c r="AE245" t="s">
        <v>74</v>
      </c>
      <c r="AF245" t="s">
        <v>74</v>
      </c>
      <c r="AG245">
        <v>14</v>
      </c>
      <c r="AH245">
        <v>133</v>
      </c>
      <c r="AI245">
        <v>156</v>
      </c>
      <c r="AJ245">
        <v>1</v>
      </c>
      <c r="AK245">
        <v>50</v>
      </c>
      <c r="AL245" t="s">
        <v>2185</v>
      </c>
      <c r="AM245" t="s">
        <v>557</v>
      </c>
      <c r="AN245" t="s">
        <v>2165</v>
      </c>
      <c r="AO245" t="s">
        <v>3997</v>
      </c>
      <c r="AP245" t="s">
        <v>3998</v>
      </c>
      <c r="AQ245" t="s">
        <v>74</v>
      </c>
      <c r="AR245" t="s">
        <v>3999</v>
      </c>
      <c r="AS245" t="s">
        <v>4000</v>
      </c>
      <c r="AT245" t="s">
        <v>4001</v>
      </c>
      <c r="AU245">
        <v>2006</v>
      </c>
      <c r="AV245">
        <v>2</v>
      </c>
      <c r="AW245">
        <v>2</v>
      </c>
      <c r="AX245" t="s">
        <v>74</v>
      </c>
      <c r="AY245" t="s">
        <v>74</v>
      </c>
      <c r="AZ245" t="s">
        <v>74</v>
      </c>
      <c r="BA245" t="s">
        <v>74</v>
      </c>
      <c r="BB245">
        <v>289</v>
      </c>
      <c r="BC245">
        <v>292</v>
      </c>
      <c r="BD245" t="s">
        <v>74</v>
      </c>
      <c r="BE245" t="s">
        <v>4002</v>
      </c>
      <c r="BF245" t="str">
        <f>HYPERLINK("http://dx.doi.org/10.1098/rsbl.2005.0431","http://dx.doi.org/10.1098/rsbl.2005.0431")</f>
        <v>http://dx.doi.org/10.1098/rsbl.2005.0431</v>
      </c>
      <c r="BG245" t="s">
        <v>74</v>
      </c>
      <c r="BH245" t="s">
        <v>74</v>
      </c>
      <c r="BI245">
        <v>4</v>
      </c>
      <c r="BJ245" t="s">
        <v>2537</v>
      </c>
      <c r="BK245" t="s">
        <v>97</v>
      </c>
      <c r="BL245" t="s">
        <v>2538</v>
      </c>
      <c r="BM245" t="s">
        <v>4003</v>
      </c>
      <c r="BN245">
        <v>17148385</v>
      </c>
      <c r="BO245" t="s">
        <v>99</v>
      </c>
      <c r="BP245" t="s">
        <v>74</v>
      </c>
      <c r="BQ245" t="s">
        <v>74</v>
      </c>
      <c r="BR245" t="s">
        <v>100</v>
      </c>
      <c r="BS245" t="s">
        <v>4004</v>
      </c>
      <c r="BT245" t="str">
        <f>HYPERLINK("https%3A%2F%2Fwww.webofscience.com%2Fwos%2Fwoscc%2Ffull-record%2FWOS:000241862500034","View Full Record in Web of Science")</f>
        <v>View Full Record in Web of Science</v>
      </c>
    </row>
    <row r="246" spans="1:72" x14ac:dyDescent="0.15">
      <c r="A246" t="s">
        <v>72</v>
      </c>
      <c r="B246" t="s">
        <v>4005</v>
      </c>
      <c r="C246" t="s">
        <v>74</v>
      </c>
      <c r="D246" t="s">
        <v>74</v>
      </c>
      <c r="E246" t="s">
        <v>74</v>
      </c>
      <c r="F246" t="s">
        <v>4006</v>
      </c>
      <c r="G246" t="s">
        <v>74</v>
      </c>
      <c r="H246" t="s">
        <v>74</v>
      </c>
      <c r="I246" t="s">
        <v>4007</v>
      </c>
      <c r="J246" t="s">
        <v>3989</v>
      </c>
      <c r="K246" t="s">
        <v>74</v>
      </c>
      <c r="L246" t="s">
        <v>74</v>
      </c>
      <c r="M246" t="s">
        <v>78</v>
      </c>
      <c r="N246" t="s">
        <v>79</v>
      </c>
      <c r="O246" t="s">
        <v>74</v>
      </c>
      <c r="P246" t="s">
        <v>74</v>
      </c>
      <c r="Q246" t="s">
        <v>74</v>
      </c>
      <c r="R246" t="s">
        <v>74</v>
      </c>
      <c r="S246" t="s">
        <v>74</v>
      </c>
      <c r="T246" t="s">
        <v>4008</v>
      </c>
      <c r="U246" t="s">
        <v>4009</v>
      </c>
      <c r="V246" t="s">
        <v>4010</v>
      </c>
      <c r="W246" t="s">
        <v>4011</v>
      </c>
      <c r="X246" t="s">
        <v>4012</v>
      </c>
      <c r="Y246" t="s">
        <v>4013</v>
      </c>
      <c r="Z246" t="s">
        <v>4014</v>
      </c>
      <c r="AA246" t="s">
        <v>4015</v>
      </c>
      <c r="AB246" t="s">
        <v>4016</v>
      </c>
      <c r="AC246" t="s">
        <v>2531</v>
      </c>
      <c r="AD246" t="s">
        <v>413</v>
      </c>
      <c r="AE246" t="s">
        <v>74</v>
      </c>
      <c r="AF246" t="s">
        <v>74</v>
      </c>
      <c r="AG246">
        <v>16</v>
      </c>
      <c r="AH246">
        <v>95</v>
      </c>
      <c r="AI246">
        <v>105</v>
      </c>
      <c r="AJ246">
        <v>2</v>
      </c>
      <c r="AK246">
        <v>44</v>
      </c>
      <c r="AL246" t="s">
        <v>2185</v>
      </c>
      <c r="AM246" t="s">
        <v>557</v>
      </c>
      <c r="AN246" t="s">
        <v>2165</v>
      </c>
      <c r="AO246" t="s">
        <v>3997</v>
      </c>
      <c r="AP246" t="s">
        <v>74</v>
      </c>
      <c r="AQ246" t="s">
        <v>74</v>
      </c>
      <c r="AR246" t="s">
        <v>3999</v>
      </c>
      <c r="AS246" t="s">
        <v>4000</v>
      </c>
      <c r="AT246" t="s">
        <v>4001</v>
      </c>
      <c r="AU246">
        <v>2006</v>
      </c>
      <c r="AV246">
        <v>2</v>
      </c>
      <c r="AW246">
        <v>2</v>
      </c>
      <c r="AX246" t="s">
        <v>74</v>
      </c>
      <c r="AY246" t="s">
        <v>74</v>
      </c>
      <c r="AZ246" t="s">
        <v>74</v>
      </c>
      <c r="BA246" t="s">
        <v>74</v>
      </c>
      <c r="BB246">
        <v>301</v>
      </c>
      <c r="BC246">
        <v>303</v>
      </c>
      <c r="BD246" t="s">
        <v>74</v>
      </c>
      <c r="BE246" t="s">
        <v>4017</v>
      </c>
      <c r="BF246" t="str">
        <f>HYPERLINK("http://dx.doi.org/10.1098/rsbl.2006.0445","http://dx.doi.org/10.1098/rsbl.2006.0445")</f>
        <v>http://dx.doi.org/10.1098/rsbl.2006.0445</v>
      </c>
      <c r="BG246" t="s">
        <v>74</v>
      </c>
      <c r="BH246" t="s">
        <v>74</v>
      </c>
      <c r="BI246">
        <v>3</v>
      </c>
      <c r="BJ246" t="s">
        <v>2537</v>
      </c>
      <c r="BK246" t="s">
        <v>97</v>
      </c>
      <c r="BL246" t="s">
        <v>2538</v>
      </c>
      <c r="BM246" t="s">
        <v>4003</v>
      </c>
      <c r="BN246">
        <v>17148388</v>
      </c>
      <c r="BO246" t="s">
        <v>99</v>
      </c>
      <c r="BP246" t="s">
        <v>74</v>
      </c>
      <c r="BQ246" t="s">
        <v>74</v>
      </c>
      <c r="BR246" t="s">
        <v>100</v>
      </c>
      <c r="BS246" t="s">
        <v>4018</v>
      </c>
      <c r="BT246" t="str">
        <f>HYPERLINK("https%3A%2F%2Fwww.webofscience.com%2Fwos%2Fwoscc%2Ffull-record%2FWOS:000241862500037","View Full Record in Web of Science")</f>
        <v>View Full Record in Web of Science</v>
      </c>
    </row>
    <row r="247" spans="1:72" x14ac:dyDescent="0.15">
      <c r="A247" t="s">
        <v>72</v>
      </c>
      <c r="B247" t="s">
        <v>4019</v>
      </c>
      <c r="C247" t="s">
        <v>74</v>
      </c>
      <c r="D247" t="s">
        <v>74</v>
      </c>
      <c r="E247" t="s">
        <v>74</v>
      </c>
      <c r="F247" t="s">
        <v>4020</v>
      </c>
      <c r="G247" t="s">
        <v>74</v>
      </c>
      <c r="H247" t="s">
        <v>74</v>
      </c>
      <c r="I247" t="s">
        <v>4021</v>
      </c>
      <c r="J247" t="s">
        <v>1772</v>
      </c>
      <c r="K247" t="s">
        <v>74</v>
      </c>
      <c r="L247" t="s">
        <v>74</v>
      </c>
      <c r="M247" t="s">
        <v>78</v>
      </c>
      <c r="N247" t="s">
        <v>511</v>
      </c>
      <c r="O247" t="s">
        <v>74</v>
      </c>
      <c r="P247" t="s">
        <v>74</v>
      </c>
      <c r="Q247" t="s">
        <v>74</v>
      </c>
      <c r="R247" t="s">
        <v>74</v>
      </c>
      <c r="S247" t="s">
        <v>74</v>
      </c>
      <c r="T247" t="s">
        <v>74</v>
      </c>
      <c r="U247" t="s">
        <v>4022</v>
      </c>
      <c r="V247" t="s">
        <v>4023</v>
      </c>
      <c r="W247" t="s">
        <v>4024</v>
      </c>
      <c r="X247" t="s">
        <v>4025</v>
      </c>
      <c r="Y247" t="s">
        <v>4026</v>
      </c>
      <c r="Z247" t="s">
        <v>4027</v>
      </c>
      <c r="AA247" t="s">
        <v>4028</v>
      </c>
      <c r="AB247" t="s">
        <v>4029</v>
      </c>
      <c r="AC247" t="s">
        <v>74</v>
      </c>
      <c r="AD247" t="s">
        <v>74</v>
      </c>
      <c r="AE247" t="s">
        <v>74</v>
      </c>
      <c r="AF247" t="s">
        <v>74</v>
      </c>
      <c r="AG247">
        <v>127</v>
      </c>
      <c r="AH247">
        <v>73</v>
      </c>
      <c r="AI247">
        <v>83</v>
      </c>
      <c r="AJ247">
        <v>1</v>
      </c>
      <c r="AK247">
        <v>29</v>
      </c>
      <c r="AL247" t="s">
        <v>1757</v>
      </c>
      <c r="AM247" t="s">
        <v>88</v>
      </c>
      <c r="AN247" t="s">
        <v>1758</v>
      </c>
      <c r="AO247" t="s">
        <v>1779</v>
      </c>
      <c r="AP247" t="s">
        <v>1780</v>
      </c>
      <c r="AQ247" t="s">
        <v>74</v>
      </c>
      <c r="AR247" t="s">
        <v>1781</v>
      </c>
      <c r="AS247" t="s">
        <v>1782</v>
      </c>
      <c r="AT247" t="s">
        <v>4001</v>
      </c>
      <c r="AU247">
        <v>2006</v>
      </c>
      <c r="AV247">
        <v>111</v>
      </c>
      <c r="AW247" t="s">
        <v>3800</v>
      </c>
      <c r="AX247" t="s">
        <v>74</v>
      </c>
      <c r="AY247" t="s">
        <v>74</v>
      </c>
      <c r="AZ247" t="s">
        <v>74</v>
      </c>
      <c r="BA247" t="s">
        <v>74</v>
      </c>
      <c r="BB247" t="s">
        <v>74</v>
      </c>
      <c r="BC247" t="s">
        <v>74</v>
      </c>
      <c r="BD247" t="s">
        <v>4030</v>
      </c>
      <c r="BE247" t="s">
        <v>4031</v>
      </c>
      <c r="BF247" t="str">
        <f>HYPERLINK("http://dx.doi.org/10.1029/2005JD006072","http://dx.doi.org/10.1029/2005JD006072")</f>
        <v>http://dx.doi.org/10.1029/2005JD006072</v>
      </c>
      <c r="BG247" t="s">
        <v>74</v>
      </c>
      <c r="BH247" t="s">
        <v>74</v>
      </c>
      <c r="BI247">
        <v>18</v>
      </c>
      <c r="BJ247" t="s">
        <v>869</v>
      </c>
      <c r="BK247" t="s">
        <v>97</v>
      </c>
      <c r="BL247" t="s">
        <v>869</v>
      </c>
      <c r="BM247" t="s">
        <v>4032</v>
      </c>
      <c r="BN247" t="s">
        <v>74</v>
      </c>
      <c r="BO247" t="s">
        <v>1767</v>
      </c>
      <c r="BP247" t="s">
        <v>74</v>
      </c>
      <c r="BQ247" t="s">
        <v>74</v>
      </c>
      <c r="BR247" t="s">
        <v>100</v>
      </c>
      <c r="BS247" t="s">
        <v>4033</v>
      </c>
      <c r="BT247" t="str">
        <f>HYPERLINK("https%3A%2F%2Fwww.webofscience.com%2Fwos%2Fwoscc%2Ffull-record%2FWOS:000238599000001","View Full Record in Web of Science")</f>
        <v>View Full Record in Web of Science</v>
      </c>
    </row>
    <row r="248" spans="1:72" x14ac:dyDescent="0.15">
      <c r="A248" t="s">
        <v>72</v>
      </c>
      <c r="B248" t="s">
        <v>4034</v>
      </c>
      <c r="C248" t="s">
        <v>74</v>
      </c>
      <c r="D248" t="s">
        <v>74</v>
      </c>
      <c r="E248" t="s">
        <v>74</v>
      </c>
      <c r="F248" t="s">
        <v>4034</v>
      </c>
      <c r="G248" t="s">
        <v>74</v>
      </c>
      <c r="H248" t="s">
        <v>74</v>
      </c>
      <c r="I248" t="s">
        <v>4035</v>
      </c>
      <c r="J248" t="s">
        <v>4036</v>
      </c>
      <c r="K248" t="s">
        <v>74</v>
      </c>
      <c r="L248" t="s">
        <v>74</v>
      </c>
      <c r="M248" t="s">
        <v>78</v>
      </c>
      <c r="N248" t="s">
        <v>79</v>
      </c>
      <c r="O248" t="s">
        <v>74</v>
      </c>
      <c r="P248" t="s">
        <v>74</v>
      </c>
      <c r="Q248" t="s">
        <v>74</v>
      </c>
      <c r="R248" t="s">
        <v>74</v>
      </c>
      <c r="S248" t="s">
        <v>74</v>
      </c>
      <c r="T248" t="s">
        <v>74</v>
      </c>
      <c r="U248" t="s">
        <v>4037</v>
      </c>
      <c r="V248" t="s">
        <v>4038</v>
      </c>
      <c r="W248" t="s">
        <v>4039</v>
      </c>
      <c r="X248" t="s">
        <v>4040</v>
      </c>
      <c r="Y248" t="s">
        <v>4041</v>
      </c>
      <c r="Z248" t="s">
        <v>4042</v>
      </c>
      <c r="AA248" t="s">
        <v>4043</v>
      </c>
      <c r="AB248" t="s">
        <v>4044</v>
      </c>
      <c r="AC248" t="s">
        <v>74</v>
      </c>
      <c r="AD248" t="s">
        <v>74</v>
      </c>
      <c r="AE248" t="s">
        <v>74</v>
      </c>
      <c r="AF248" t="s">
        <v>74</v>
      </c>
      <c r="AG248">
        <v>28</v>
      </c>
      <c r="AH248">
        <v>240</v>
      </c>
      <c r="AI248">
        <v>267</v>
      </c>
      <c r="AJ248">
        <v>1</v>
      </c>
      <c r="AK248">
        <v>101</v>
      </c>
      <c r="AL248" t="s">
        <v>556</v>
      </c>
      <c r="AM248" t="s">
        <v>557</v>
      </c>
      <c r="AN248" t="s">
        <v>558</v>
      </c>
      <c r="AO248" t="s">
        <v>4045</v>
      </c>
      <c r="AP248" t="s">
        <v>74</v>
      </c>
      <c r="AQ248" t="s">
        <v>74</v>
      </c>
      <c r="AR248" t="s">
        <v>4036</v>
      </c>
      <c r="AS248" t="s">
        <v>4046</v>
      </c>
      <c r="AT248" t="s">
        <v>4001</v>
      </c>
      <c r="AU248">
        <v>2006</v>
      </c>
      <c r="AV248">
        <v>441</v>
      </c>
      <c r="AW248">
        <v>7096</v>
      </c>
      <c r="AX248" t="s">
        <v>74</v>
      </c>
      <c r="AY248" t="s">
        <v>74</v>
      </c>
      <c r="AZ248" t="s">
        <v>74</v>
      </c>
      <c r="BA248" t="s">
        <v>74</v>
      </c>
      <c r="BB248">
        <v>964</v>
      </c>
      <c r="BC248">
        <v>967</v>
      </c>
      <c r="BD248" t="s">
        <v>74</v>
      </c>
      <c r="BE248" t="s">
        <v>4047</v>
      </c>
      <c r="BF248" t="str">
        <f>HYPERLINK("http://dx.doi.org/10.1038/nature04883","http://dx.doi.org/10.1038/nature04883")</f>
        <v>http://dx.doi.org/10.1038/nature04883</v>
      </c>
      <c r="BG248" t="s">
        <v>74</v>
      </c>
      <c r="BH248" t="s">
        <v>74</v>
      </c>
      <c r="BI248">
        <v>4</v>
      </c>
      <c r="BJ248" t="s">
        <v>1841</v>
      </c>
      <c r="BK248" t="s">
        <v>97</v>
      </c>
      <c r="BL248" t="s">
        <v>1842</v>
      </c>
      <c r="BM248" t="s">
        <v>4048</v>
      </c>
      <c r="BN248">
        <v>16791191</v>
      </c>
      <c r="BO248" t="s">
        <v>74</v>
      </c>
      <c r="BP248" t="s">
        <v>74</v>
      </c>
      <c r="BQ248" t="s">
        <v>74</v>
      </c>
      <c r="BR248" t="s">
        <v>100</v>
      </c>
      <c r="BS248" t="s">
        <v>4049</v>
      </c>
      <c r="BT248" t="str">
        <f>HYPERLINK("https%3A%2F%2Fwww.webofscience.com%2Fwos%2Fwoscc%2Ffull-record%2FWOS:000238422300038","View Full Record in Web of Science")</f>
        <v>View Full Record in Web of Science</v>
      </c>
    </row>
    <row r="249" spans="1:72" x14ac:dyDescent="0.15">
      <c r="A249" t="s">
        <v>72</v>
      </c>
      <c r="B249" t="s">
        <v>4050</v>
      </c>
      <c r="C249" t="s">
        <v>74</v>
      </c>
      <c r="D249" t="s">
        <v>74</v>
      </c>
      <c r="E249" t="s">
        <v>74</v>
      </c>
      <c r="F249" t="s">
        <v>4051</v>
      </c>
      <c r="G249" t="s">
        <v>74</v>
      </c>
      <c r="H249" t="s">
        <v>74</v>
      </c>
      <c r="I249" t="s">
        <v>4052</v>
      </c>
      <c r="J249" t="s">
        <v>1748</v>
      </c>
      <c r="K249" t="s">
        <v>74</v>
      </c>
      <c r="L249" t="s">
        <v>74</v>
      </c>
      <c r="M249" t="s">
        <v>78</v>
      </c>
      <c r="N249" t="s">
        <v>79</v>
      </c>
      <c r="O249" t="s">
        <v>74</v>
      </c>
      <c r="P249" t="s">
        <v>74</v>
      </c>
      <c r="Q249" t="s">
        <v>74</v>
      </c>
      <c r="R249" t="s">
        <v>74</v>
      </c>
      <c r="S249" t="s">
        <v>74</v>
      </c>
      <c r="T249" t="s">
        <v>74</v>
      </c>
      <c r="U249" t="s">
        <v>4053</v>
      </c>
      <c r="V249" t="s">
        <v>4054</v>
      </c>
      <c r="W249" t="s">
        <v>4055</v>
      </c>
      <c r="X249" t="s">
        <v>4056</v>
      </c>
      <c r="Y249" t="s">
        <v>4057</v>
      </c>
      <c r="Z249" t="s">
        <v>4058</v>
      </c>
      <c r="AA249" t="s">
        <v>4059</v>
      </c>
      <c r="AB249" t="s">
        <v>74</v>
      </c>
      <c r="AC249" t="s">
        <v>74</v>
      </c>
      <c r="AD249" t="s">
        <v>74</v>
      </c>
      <c r="AE249" t="s">
        <v>74</v>
      </c>
      <c r="AF249" t="s">
        <v>74</v>
      </c>
      <c r="AG249">
        <v>13</v>
      </c>
      <c r="AH249">
        <v>24</v>
      </c>
      <c r="AI249">
        <v>26</v>
      </c>
      <c r="AJ249">
        <v>0</v>
      </c>
      <c r="AK249">
        <v>8</v>
      </c>
      <c r="AL249" t="s">
        <v>1757</v>
      </c>
      <c r="AM249" t="s">
        <v>88</v>
      </c>
      <c r="AN249" t="s">
        <v>1758</v>
      </c>
      <c r="AO249" t="s">
        <v>1759</v>
      </c>
      <c r="AP249" t="s">
        <v>1760</v>
      </c>
      <c r="AQ249" t="s">
        <v>74</v>
      </c>
      <c r="AR249" t="s">
        <v>1761</v>
      </c>
      <c r="AS249" t="s">
        <v>1762</v>
      </c>
      <c r="AT249" t="s">
        <v>4060</v>
      </c>
      <c r="AU249">
        <v>2006</v>
      </c>
      <c r="AV249">
        <v>33</v>
      </c>
      <c r="AW249">
        <v>12</v>
      </c>
      <c r="AX249" t="s">
        <v>74</v>
      </c>
      <c r="AY249" t="s">
        <v>74</v>
      </c>
      <c r="AZ249" t="s">
        <v>74</v>
      </c>
      <c r="BA249" t="s">
        <v>74</v>
      </c>
      <c r="BB249" t="s">
        <v>74</v>
      </c>
      <c r="BC249" t="s">
        <v>74</v>
      </c>
      <c r="BD249" t="s">
        <v>4061</v>
      </c>
      <c r="BE249" t="s">
        <v>4062</v>
      </c>
      <c r="BF249" t="str">
        <f>HYPERLINK("http://dx.doi.org/10.1029/2006GL026034","http://dx.doi.org/10.1029/2006GL026034")</f>
        <v>http://dx.doi.org/10.1029/2006GL026034</v>
      </c>
      <c r="BG249" t="s">
        <v>74</v>
      </c>
      <c r="BH249" t="s">
        <v>74</v>
      </c>
      <c r="BI249">
        <v>5</v>
      </c>
      <c r="BJ249" t="s">
        <v>527</v>
      </c>
      <c r="BK249" t="s">
        <v>97</v>
      </c>
      <c r="BL249" t="s">
        <v>528</v>
      </c>
      <c r="BM249" t="s">
        <v>4063</v>
      </c>
      <c r="BN249" t="s">
        <v>74</v>
      </c>
      <c r="BO249" t="s">
        <v>1767</v>
      </c>
      <c r="BP249" t="s">
        <v>74</v>
      </c>
      <c r="BQ249" t="s">
        <v>74</v>
      </c>
      <c r="BR249" t="s">
        <v>100</v>
      </c>
      <c r="BS249" t="s">
        <v>4064</v>
      </c>
      <c r="BT249" t="str">
        <f>HYPERLINK("https%3A%2F%2Fwww.webofscience.com%2Fwos%2Fwoscc%2Ffull-record%2FWOS:000238597200003","View Full Record in Web of Science")</f>
        <v>View Full Record in Web of Science</v>
      </c>
    </row>
    <row r="250" spans="1:72" x14ac:dyDescent="0.15">
      <c r="A250" t="s">
        <v>72</v>
      </c>
      <c r="B250" t="s">
        <v>4065</v>
      </c>
      <c r="C250" t="s">
        <v>74</v>
      </c>
      <c r="D250" t="s">
        <v>74</v>
      </c>
      <c r="E250" t="s">
        <v>74</v>
      </c>
      <c r="F250" t="s">
        <v>4065</v>
      </c>
      <c r="G250" t="s">
        <v>74</v>
      </c>
      <c r="H250" t="s">
        <v>74</v>
      </c>
      <c r="I250" t="s">
        <v>4066</v>
      </c>
      <c r="J250" t="s">
        <v>4067</v>
      </c>
      <c r="K250" t="s">
        <v>74</v>
      </c>
      <c r="L250" t="s">
        <v>74</v>
      </c>
      <c r="M250" t="s">
        <v>78</v>
      </c>
      <c r="N250" t="s">
        <v>79</v>
      </c>
      <c r="O250" t="s">
        <v>74</v>
      </c>
      <c r="P250" t="s">
        <v>74</v>
      </c>
      <c r="Q250" t="s">
        <v>74</v>
      </c>
      <c r="R250" t="s">
        <v>74</v>
      </c>
      <c r="S250" t="s">
        <v>74</v>
      </c>
      <c r="T250" t="s">
        <v>74</v>
      </c>
      <c r="U250" t="s">
        <v>4068</v>
      </c>
      <c r="V250" t="s">
        <v>4069</v>
      </c>
      <c r="W250" t="s">
        <v>4070</v>
      </c>
      <c r="X250" t="s">
        <v>4071</v>
      </c>
      <c r="Y250" t="s">
        <v>4072</v>
      </c>
      <c r="Z250" t="s">
        <v>4073</v>
      </c>
      <c r="AA250" t="s">
        <v>4074</v>
      </c>
      <c r="AB250" t="s">
        <v>4075</v>
      </c>
      <c r="AC250" t="s">
        <v>74</v>
      </c>
      <c r="AD250" t="s">
        <v>74</v>
      </c>
      <c r="AE250" t="s">
        <v>74</v>
      </c>
      <c r="AF250" t="s">
        <v>74</v>
      </c>
      <c r="AG250">
        <v>15</v>
      </c>
      <c r="AH250">
        <v>0</v>
      </c>
      <c r="AI250">
        <v>0</v>
      </c>
      <c r="AJ250">
        <v>0</v>
      </c>
      <c r="AK250">
        <v>0</v>
      </c>
      <c r="AL250" t="s">
        <v>136</v>
      </c>
      <c r="AM250" t="s">
        <v>137</v>
      </c>
      <c r="AN250" t="s">
        <v>138</v>
      </c>
      <c r="AO250" t="s">
        <v>4076</v>
      </c>
      <c r="AP250" t="s">
        <v>4077</v>
      </c>
      <c r="AQ250" t="s">
        <v>74</v>
      </c>
      <c r="AR250" t="s">
        <v>4078</v>
      </c>
      <c r="AS250" t="s">
        <v>4079</v>
      </c>
      <c r="AT250" t="s">
        <v>4080</v>
      </c>
      <c r="AU250">
        <v>2006</v>
      </c>
      <c r="AV250">
        <v>27</v>
      </c>
      <c r="AW250">
        <v>2</v>
      </c>
      <c r="AX250" t="s">
        <v>74</v>
      </c>
      <c r="AY250" t="s">
        <v>74</v>
      </c>
      <c r="AZ250" t="s">
        <v>74</v>
      </c>
      <c r="BA250" t="s">
        <v>74</v>
      </c>
      <c r="BB250">
        <v>433</v>
      </c>
      <c r="BC250">
        <v>448</v>
      </c>
      <c r="BD250" t="s">
        <v>74</v>
      </c>
      <c r="BE250" t="s">
        <v>4081</v>
      </c>
      <c r="BF250" t="str">
        <f>HYPERLINK("http://dx.doi.org/10.1080/01431160500264444","http://dx.doi.org/10.1080/01431160500264444")</f>
        <v>http://dx.doi.org/10.1080/01431160500264444</v>
      </c>
      <c r="BG250" t="s">
        <v>74</v>
      </c>
      <c r="BH250" t="s">
        <v>74</v>
      </c>
      <c r="BI250">
        <v>16</v>
      </c>
      <c r="BJ250" t="s">
        <v>4082</v>
      </c>
      <c r="BK250" t="s">
        <v>97</v>
      </c>
      <c r="BL250" t="s">
        <v>4082</v>
      </c>
      <c r="BM250" t="s">
        <v>4083</v>
      </c>
      <c r="BN250" t="s">
        <v>74</v>
      </c>
      <c r="BO250" t="s">
        <v>147</v>
      </c>
      <c r="BP250" t="s">
        <v>74</v>
      </c>
      <c r="BQ250" t="s">
        <v>74</v>
      </c>
      <c r="BR250" t="s">
        <v>100</v>
      </c>
      <c r="BS250" t="s">
        <v>4084</v>
      </c>
      <c r="BT250" t="str">
        <f>HYPERLINK("https%3A%2F%2Fwww.webofscience.com%2Fwos%2Fwoscc%2Ffull-record%2FWOS:000236576000011","View Full Record in Web of Science")</f>
        <v>View Full Record in Web of Science</v>
      </c>
    </row>
    <row r="251" spans="1:72" x14ac:dyDescent="0.15">
      <c r="A251" t="s">
        <v>72</v>
      </c>
      <c r="B251" t="s">
        <v>4085</v>
      </c>
      <c r="C251" t="s">
        <v>74</v>
      </c>
      <c r="D251" t="s">
        <v>74</v>
      </c>
      <c r="E251" t="s">
        <v>74</v>
      </c>
      <c r="F251" t="s">
        <v>4086</v>
      </c>
      <c r="G251" t="s">
        <v>74</v>
      </c>
      <c r="H251" t="s">
        <v>74</v>
      </c>
      <c r="I251" t="s">
        <v>4087</v>
      </c>
      <c r="J251" t="s">
        <v>2354</v>
      </c>
      <c r="K251" t="s">
        <v>74</v>
      </c>
      <c r="L251" t="s">
        <v>74</v>
      </c>
      <c r="M251" t="s">
        <v>78</v>
      </c>
      <c r="N251" t="s">
        <v>79</v>
      </c>
      <c r="O251" t="s">
        <v>74</v>
      </c>
      <c r="P251" t="s">
        <v>74</v>
      </c>
      <c r="Q251" t="s">
        <v>74</v>
      </c>
      <c r="R251" t="s">
        <v>74</v>
      </c>
      <c r="S251" t="s">
        <v>74</v>
      </c>
      <c r="T251" t="s">
        <v>74</v>
      </c>
      <c r="U251" t="s">
        <v>4088</v>
      </c>
      <c r="V251" t="s">
        <v>4089</v>
      </c>
      <c r="W251" t="s">
        <v>4090</v>
      </c>
      <c r="X251" t="s">
        <v>4091</v>
      </c>
      <c r="Y251" t="s">
        <v>4092</v>
      </c>
      <c r="Z251" t="s">
        <v>4093</v>
      </c>
      <c r="AA251" t="s">
        <v>4094</v>
      </c>
      <c r="AB251" t="s">
        <v>4095</v>
      </c>
      <c r="AC251" t="s">
        <v>74</v>
      </c>
      <c r="AD251" t="s">
        <v>74</v>
      </c>
      <c r="AE251" t="s">
        <v>74</v>
      </c>
      <c r="AF251" t="s">
        <v>74</v>
      </c>
      <c r="AG251">
        <v>71</v>
      </c>
      <c r="AH251">
        <v>17</v>
      </c>
      <c r="AI251">
        <v>18</v>
      </c>
      <c r="AJ251">
        <v>0</v>
      </c>
      <c r="AK251">
        <v>8</v>
      </c>
      <c r="AL251" t="s">
        <v>1757</v>
      </c>
      <c r="AM251" t="s">
        <v>88</v>
      </c>
      <c r="AN251" t="s">
        <v>1758</v>
      </c>
      <c r="AO251" t="s">
        <v>2363</v>
      </c>
      <c r="AP251" t="s">
        <v>2364</v>
      </c>
      <c r="AQ251" t="s">
        <v>74</v>
      </c>
      <c r="AR251" t="s">
        <v>2365</v>
      </c>
      <c r="AS251" t="s">
        <v>2366</v>
      </c>
      <c r="AT251" t="s">
        <v>4096</v>
      </c>
      <c r="AU251">
        <v>2006</v>
      </c>
      <c r="AV251">
        <v>111</v>
      </c>
      <c r="AW251" t="s">
        <v>4097</v>
      </c>
      <c r="AX251" t="s">
        <v>74</v>
      </c>
      <c r="AY251" t="s">
        <v>74</v>
      </c>
      <c r="AZ251" t="s">
        <v>74</v>
      </c>
      <c r="BA251" t="s">
        <v>74</v>
      </c>
      <c r="BB251" t="s">
        <v>74</v>
      </c>
      <c r="BC251" t="s">
        <v>74</v>
      </c>
      <c r="BD251" t="s">
        <v>4098</v>
      </c>
      <c r="BE251" t="s">
        <v>4099</v>
      </c>
      <c r="BF251" t="str">
        <f>HYPERLINK("http://dx.doi.org/10.1029/2005JC003289","http://dx.doi.org/10.1029/2005JC003289")</f>
        <v>http://dx.doi.org/10.1029/2005JC003289</v>
      </c>
      <c r="BG251" t="s">
        <v>74</v>
      </c>
      <c r="BH251" t="s">
        <v>74</v>
      </c>
      <c r="BI251">
        <v>12</v>
      </c>
      <c r="BJ251" t="s">
        <v>1069</v>
      </c>
      <c r="BK251" t="s">
        <v>97</v>
      </c>
      <c r="BL251" t="s">
        <v>1069</v>
      </c>
      <c r="BM251" t="s">
        <v>4100</v>
      </c>
      <c r="BN251" t="s">
        <v>74</v>
      </c>
      <c r="BO251" t="s">
        <v>4101</v>
      </c>
      <c r="BP251" t="s">
        <v>74</v>
      </c>
      <c r="BQ251" t="s">
        <v>74</v>
      </c>
      <c r="BR251" t="s">
        <v>100</v>
      </c>
      <c r="BS251" t="s">
        <v>4102</v>
      </c>
      <c r="BT251" t="str">
        <f>HYPERLINK("https%3A%2F%2Fwww.webofscience.com%2Fwos%2Fwoscc%2Ffull-record%2FWOS:000238571900002","View Full Record in Web of Science")</f>
        <v>View Full Record in Web of Science</v>
      </c>
    </row>
    <row r="252" spans="1:72" x14ac:dyDescent="0.15">
      <c r="A252" t="s">
        <v>72</v>
      </c>
      <c r="B252" t="s">
        <v>4103</v>
      </c>
      <c r="C252" t="s">
        <v>74</v>
      </c>
      <c r="D252" t="s">
        <v>74</v>
      </c>
      <c r="E252" t="s">
        <v>74</v>
      </c>
      <c r="F252" t="s">
        <v>4104</v>
      </c>
      <c r="G252" t="s">
        <v>74</v>
      </c>
      <c r="H252" t="s">
        <v>74</v>
      </c>
      <c r="I252" t="s">
        <v>4105</v>
      </c>
      <c r="J252" t="s">
        <v>4106</v>
      </c>
      <c r="K252" t="s">
        <v>74</v>
      </c>
      <c r="L252" t="s">
        <v>74</v>
      </c>
      <c r="M252" t="s">
        <v>78</v>
      </c>
      <c r="N252" t="s">
        <v>79</v>
      </c>
      <c r="O252" t="s">
        <v>74</v>
      </c>
      <c r="P252" t="s">
        <v>74</v>
      </c>
      <c r="Q252" t="s">
        <v>74</v>
      </c>
      <c r="R252" t="s">
        <v>74</v>
      </c>
      <c r="S252" t="s">
        <v>74</v>
      </c>
      <c r="T252" t="s">
        <v>74</v>
      </c>
      <c r="U252" t="s">
        <v>4107</v>
      </c>
      <c r="V252" t="s">
        <v>4108</v>
      </c>
      <c r="W252" t="s">
        <v>4109</v>
      </c>
      <c r="X252" t="s">
        <v>4110</v>
      </c>
      <c r="Y252" t="s">
        <v>4111</v>
      </c>
      <c r="Z252" t="s">
        <v>4112</v>
      </c>
      <c r="AA252" t="s">
        <v>4113</v>
      </c>
      <c r="AB252" t="s">
        <v>4114</v>
      </c>
      <c r="AC252" t="s">
        <v>2337</v>
      </c>
      <c r="AD252" t="s">
        <v>1328</v>
      </c>
      <c r="AE252" t="s">
        <v>74</v>
      </c>
      <c r="AF252" t="s">
        <v>74</v>
      </c>
      <c r="AG252">
        <v>18</v>
      </c>
      <c r="AH252">
        <v>41</v>
      </c>
      <c r="AI252">
        <v>48</v>
      </c>
      <c r="AJ252">
        <v>0</v>
      </c>
      <c r="AK252">
        <v>10</v>
      </c>
      <c r="AL252" t="s">
        <v>1757</v>
      </c>
      <c r="AM252" t="s">
        <v>88</v>
      </c>
      <c r="AN252" t="s">
        <v>1758</v>
      </c>
      <c r="AO252" t="s">
        <v>4115</v>
      </c>
      <c r="AP252" t="s">
        <v>4116</v>
      </c>
      <c r="AQ252" t="s">
        <v>74</v>
      </c>
      <c r="AR252" t="s">
        <v>4117</v>
      </c>
      <c r="AS252" t="s">
        <v>4118</v>
      </c>
      <c r="AT252" t="s">
        <v>4119</v>
      </c>
      <c r="AU252">
        <v>2006</v>
      </c>
      <c r="AV252">
        <v>111</v>
      </c>
      <c r="AW252" t="s">
        <v>4120</v>
      </c>
      <c r="AX252" t="s">
        <v>74</v>
      </c>
      <c r="AY252" t="s">
        <v>74</v>
      </c>
      <c r="AZ252" t="s">
        <v>74</v>
      </c>
      <c r="BA252" t="s">
        <v>74</v>
      </c>
      <c r="BB252" t="s">
        <v>74</v>
      </c>
      <c r="BC252" t="s">
        <v>74</v>
      </c>
      <c r="BD252" t="s">
        <v>4121</v>
      </c>
      <c r="BE252" t="s">
        <v>4122</v>
      </c>
      <c r="BF252" t="str">
        <f>HYPERLINK("http://dx.doi.org/10.1029/2005JF000309","http://dx.doi.org/10.1029/2005JF000309")</f>
        <v>http://dx.doi.org/10.1029/2005JF000309</v>
      </c>
      <c r="BG252" t="s">
        <v>74</v>
      </c>
      <c r="BH252" t="s">
        <v>74</v>
      </c>
      <c r="BI252">
        <v>17</v>
      </c>
      <c r="BJ252" t="s">
        <v>527</v>
      </c>
      <c r="BK252" t="s">
        <v>97</v>
      </c>
      <c r="BL252" t="s">
        <v>528</v>
      </c>
      <c r="BM252" t="s">
        <v>4123</v>
      </c>
      <c r="BN252" t="s">
        <v>74</v>
      </c>
      <c r="BO252" t="s">
        <v>4124</v>
      </c>
      <c r="BP252" t="s">
        <v>74</v>
      </c>
      <c r="BQ252" t="s">
        <v>74</v>
      </c>
      <c r="BR252" t="s">
        <v>100</v>
      </c>
      <c r="BS252" t="s">
        <v>4125</v>
      </c>
      <c r="BT252" t="str">
        <f>HYPERLINK("https%3A%2F%2Fwww.webofscience.com%2Fwos%2Fwoscc%2Ffull-record%2FWOS:000238571000001","View Full Record in Web of Science")</f>
        <v>View Full Record in Web of Science</v>
      </c>
    </row>
    <row r="253" spans="1:72" x14ac:dyDescent="0.15">
      <c r="A253" t="s">
        <v>72</v>
      </c>
      <c r="B253" t="s">
        <v>4126</v>
      </c>
      <c r="C253" t="s">
        <v>74</v>
      </c>
      <c r="D253" t="s">
        <v>74</v>
      </c>
      <c r="E253" t="s">
        <v>74</v>
      </c>
      <c r="F253" t="s">
        <v>4127</v>
      </c>
      <c r="G253" t="s">
        <v>74</v>
      </c>
      <c r="H253" t="s">
        <v>74</v>
      </c>
      <c r="I253" t="s">
        <v>4128</v>
      </c>
      <c r="J253" t="s">
        <v>3745</v>
      </c>
      <c r="K253" t="s">
        <v>74</v>
      </c>
      <c r="L253" t="s">
        <v>74</v>
      </c>
      <c r="M253" t="s">
        <v>78</v>
      </c>
      <c r="N253" t="s">
        <v>79</v>
      </c>
      <c r="O253" t="s">
        <v>74</v>
      </c>
      <c r="P253" t="s">
        <v>74</v>
      </c>
      <c r="Q253" t="s">
        <v>74</v>
      </c>
      <c r="R253" t="s">
        <v>74</v>
      </c>
      <c r="S253" t="s">
        <v>74</v>
      </c>
      <c r="T253" t="s">
        <v>4129</v>
      </c>
      <c r="U253" t="s">
        <v>4130</v>
      </c>
      <c r="V253" t="s">
        <v>4131</v>
      </c>
      <c r="W253" t="s">
        <v>4132</v>
      </c>
      <c r="X253" t="s">
        <v>4133</v>
      </c>
      <c r="Y253" t="s">
        <v>4134</v>
      </c>
      <c r="Z253" t="s">
        <v>1451</v>
      </c>
      <c r="AA253" t="s">
        <v>74</v>
      </c>
      <c r="AB253" t="s">
        <v>74</v>
      </c>
      <c r="AC253" t="s">
        <v>74</v>
      </c>
      <c r="AD253" t="s">
        <v>74</v>
      </c>
      <c r="AE253" t="s">
        <v>74</v>
      </c>
      <c r="AF253" t="s">
        <v>74</v>
      </c>
      <c r="AG253">
        <v>49</v>
      </c>
      <c r="AH253">
        <v>21</v>
      </c>
      <c r="AI253">
        <v>23</v>
      </c>
      <c r="AJ253">
        <v>1</v>
      </c>
      <c r="AK253">
        <v>14</v>
      </c>
      <c r="AL253" t="s">
        <v>1261</v>
      </c>
      <c r="AM253" t="s">
        <v>520</v>
      </c>
      <c r="AN253" t="s">
        <v>1262</v>
      </c>
      <c r="AO253" t="s">
        <v>3753</v>
      </c>
      <c r="AP253" t="s">
        <v>3754</v>
      </c>
      <c r="AQ253" t="s">
        <v>74</v>
      </c>
      <c r="AR253" t="s">
        <v>3755</v>
      </c>
      <c r="AS253" t="s">
        <v>3756</v>
      </c>
      <c r="AT253" t="s">
        <v>4135</v>
      </c>
      <c r="AU253">
        <v>2006</v>
      </c>
      <c r="AV253">
        <v>246</v>
      </c>
      <c r="AW253" t="s">
        <v>765</v>
      </c>
      <c r="AX253" t="s">
        <v>74</v>
      </c>
      <c r="AY253" t="s">
        <v>74</v>
      </c>
      <c r="AZ253" t="s">
        <v>74</v>
      </c>
      <c r="BA253" t="s">
        <v>74</v>
      </c>
      <c r="BB253">
        <v>90</v>
      </c>
      <c r="BC253">
        <v>101</v>
      </c>
      <c r="BD253" t="s">
        <v>74</v>
      </c>
      <c r="BE253" t="s">
        <v>4136</v>
      </c>
      <c r="BF253" t="str">
        <f>HYPERLINK("http://dx.doi.org/10.1016/j.epsl.2006.03.044","http://dx.doi.org/10.1016/j.epsl.2006.03.044")</f>
        <v>http://dx.doi.org/10.1016/j.epsl.2006.03.044</v>
      </c>
      <c r="BG253" t="s">
        <v>74</v>
      </c>
      <c r="BH253" t="s">
        <v>74</v>
      </c>
      <c r="BI253">
        <v>12</v>
      </c>
      <c r="BJ253" t="s">
        <v>608</v>
      </c>
      <c r="BK253" t="s">
        <v>97</v>
      </c>
      <c r="BL253" t="s">
        <v>608</v>
      </c>
      <c r="BM253" t="s">
        <v>4137</v>
      </c>
      <c r="BN253" t="s">
        <v>74</v>
      </c>
      <c r="BO253" t="s">
        <v>74</v>
      </c>
      <c r="BP253" t="s">
        <v>74</v>
      </c>
      <c r="BQ253" t="s">
        <v>74</v>
      </c>
      <c r="BR253" t="s">
        <v>100</v>
      </c>
      <c r="BS253" t="s">
        <v>4138</v>
      </c>
      <c r="BT253" t="str">
        <f>HYPERLINK("https%3A%2F%2Fwww.webofscience.com%2Fwos%2Fwoscc%2Ffull-record%2FWOS:000239200800007","View Full Record in Web of Science")</f>
        <v>View Full Record in Web of Science</v>
      </c>
    </row>
    <row r="254" spans="1:72" x14ac:dyDescent="0.15">
      <c r="A254" t="s">
        <v>72</v>
      </c>
      <c r="B254" t="s">
        <v>4139</v>
      </c>
      <c r="C254" t="s">
        <v>74</v>
      </c>
      <c r="D254" t="s">
        <v>74</v>
      </c>
      <c r="E254" t="s">
        <v>74</v>
      </c>
      <c r="F254" t="s">
        <v>4140</v>
      </c>
      <c r="G254" t="s">
        <v>74</v>
      </c>
      <c r="H254" t="s">
        <v>74</v>
      </c>
      <c r="I254" t="s">
        <v>4141</v>
      </c>
      <c r="J254" t="s">
        <v>4142</v>
      </c>
      <c r="K254" t="s">
        <v>74</v>
      </c>
      <c r="L254" t="s">
        <v>74</v>
      </c>
      <c r="M254" t="s">
        <v>78</v>
      </c>
      <c r="N254" t="s">
        <v>79</v>
      </c>
      <c r="O254" t="s">
        <v>74</v>
      </c>
      <c r="P254" t="s">
        <v>74</v>
      </c>
      <c r="Q254" t="s">
        <v>74</v>
      </c>
      <c r="R254" t="s">
        <v>74</v>
      </c>
      <c r="S254" t="s">
        <v>74</v>
      </c>
      <c r="T254" t="s">
        <v>4143</v>
      </c>
      <c r="U254" t="s">
        <v>4144</v>
      </c>
      <c r="V254" t="s">
        <v>4145</v>
      </c>
      <c r="W254" t="s">
        <v>4146</v>
      </c>
      <c r="X254" t="s">
        <v>4147</v>
      </c>
      <c r="Y254" t="s">
        <v>4148</v>
      </c>
      <c r="Z254" t="s">
        <v>4149</v>
      </c>
      <c r="AA254" t="s">
        <v>4150</v>
      </c>
      <c r="AB254" t="s">
        <v>4151</v>
      </c>
      <c r="AC254" t="s">
        <v>74</v>
      </c>
      <c r="AD254" t="s">
        <v>74</v>
      </c>
      <c r="AE254" t="s">
        <v>74</v>
      </c>
      <c r="AF254" t="s">
        <v>74</v>
      </c>
      <c r="AG254">
        <v>79</v>
      </c>
      <c r="AH254">
        <v>32</v>
      </c>
      <c r="AI254">
        <v>39</v>
      </c>
      <c r="AJ254">
        <v>0</v>
      </c>
      <c r="AK254">
        <v>52</v>
      </c>
      <c r="AL254" t="s">
        <v>519</v>
      </c>
      <c r="AM254" t="s">
        <v>520</v>
      </c>
      <c r="AN254" t="s">
        <v>521</v>
      </c>
      <c r="AO254" t="s">
        <v>4152</v>
      </c>
      <c r="AP254" t="s">
        <v>4153</v>
      </c>
      <c r="AQ254" t="s">
        <v>74</v>
      </c>
      <c r="AR254" t="s">
        <v>4154</v>
      </c>
      <c r="AS254" t="s">
        <v>4155</v>
      </c>
      <c r="AT254" t="s">
        <v>4135</v>
      </c>
      <c r="AU254">
        <v>2006</v>
      </c>
      <c r="AV254">
        <v>195</v>
      </c>
      <c r="AW254" t="s">
        <v>1243</v>
      </c>
      <c r="AX254" t="s">
        <v>74</v>
      </c>
      <c r="AY254" t="s">
        <v>74</v>
      </c>
      <c r="AZ254" t="s">
        <v>74</v>
      </c>
      <c r="BA254" t="s">
        <v>74</v>
      </c>
      <c r="BB254">
        <v>187</v>
      </c>
      <c r="BC254">
        <v>204</v>
      </c>
      <c r="BD254" t="s">
        <v>74</v>
      </c>
      <c r="BE254" t="s">
        <v>4156</v>
      </c>
      <c r="BF254" t="str">
        <f>HYPERLINK("http://dx.doi.org/10.1016/j.ecolmodel.2005.10.036","http://dx.doi.org/10.1016/j.ecolmodel.2005.10.036")</f>
        <v>http://dx.doi.org/10.1016/j.ecolmodel.2005.10.036</v>
      </c>
      <c r="BG254" t="s">
        <v>74</v>
      </c>
      <c r="BH254" t="s">
        <v>74</v>
      </c>
      <c r="BI254">
        <v>18</v>
      </c>
      <c r="BJ254" t="s">
        <v>419</v>
      </c>
      <c r="BK254" t="s">
        <v>97</v>
      </c>
      <c r="BL254" t="s">
        <v>420</v>
      </c>
      <c r="BM254" t="s">
        <v>4157</v>
      </c>
      <c r="BN254" t="s">
        <v>74</v>
      </c>
      <c r="BO254" t="s">
        <v>74</v>
      </c>
      <c r="BP254" t="s">
        <v>74</v>
      </c>
      <c r="BQ254" t="s">
        <v>74</v>
      </c>
      <c r="BR254" t="s">
        <v>100</v>
      </c>
      <c r="BS254" t="s">
        <v>4158</v>
      </c>
      <c r="BT254" t="str">
        <f>HYPERLINK("https%3A%2F%2Fwww.webofscience.com%2Fwos%2Fwoscc%2Ffull-record%2FWOS:000238181500003","View Full Record in Web of Science")</f>
        <v>View Full Record in Web of Science</v>
      </c>
    </row>
    <row r="255" spans="1:72" x14ac:dyDescent="0.15">
      <c r="A255" t="s">
        <v>72</v>
      </c>
      <c r="B255" t="s">
        <v>4159</v>
      </c>
      <c r="C255" t="s">
        <v>74</v>
      </c>
      <c r="D255" t="s">
        <v>74</v>
      </c>
      <c r="E255" t="s">
        <v>74</v>
      </c>
      <c r="F255" t="s">
        <v>4160</v>
      </c>
      <c r="G255" t="s">
        <v>74</v>
      </c>
      <c r="H255" t="s">
        <v>74</v>
      </c>
      <c r="I255" t="s">
        <v>4161</v>
      </c>
      <c r="J255" t="s">
        <v>614</v>
      </c>
      <c r="K255" t="s">
        <v>74</v>
      </c>
      <c r="L255" t="s">
        <v>74</v>
      </c>
      <c r="M255" t="s">
        <v>78</v>
      </c>
      <c r="N255" t="s">
        <v>511</v>
      </c>
      <c r="O255" t="s">
        <v>74</v>
      </c>
      <c r="P255" t="s">
        <v>74</v>
      </c>
      <c r="Q255" t="s">
        <v>74</v>
      </c>
      <c r="R255" t="s">
        <v>74</v>
      </c>
      <c r="S255" t="s">
        <v>74</v>
      </c>
      <c r="T255" t="s">
        <v>74</v>
      </c>
      <c r="U255" t="s">
        <v>4162</v>
      </c>
      <c r="V255" t="s">
        <v>4163</v>
      </c>
      <c r="W255" t="s">
        <v>4164</v>
      </c>
      <c r="X255" t="s">
        <v>4165</v>
      </c>
      <c r="Y255" t="s">
        <v>4166</v>
      </c>
      <c r="Z255" t="s">
        <v>4167</v>
      </c>
      <c r="AA255" t="s">
        <v>4168</v>
      </c>
      <c r="AB255" t="s">
        <v>4169</v>
      </c>
      <c r="AC255" t="s">
        <v>74</v>
      </c>
      <c r="AD255" t="s">
        <v>74</v>
      </c>
      <c r="AE255" t="s">
        <v>74</v>
      </c>
      <c r="AF255" t="s">
        <v>74</v>
      </c>
      <c r="AG255">
        <v>106</v>
      </c>
      <c r="AH255">
        <v>79</v>
      </c>
      <c r="AI255">
        <v>87</v>
      </c>
      <c r="AJ255">
        <v>0</v>
      </c>
      <c r="AK255">
        <v>27</v>
      </c>
      <c r="AL255" t="s">
        <v>387</v>
      </c>
      <c r="AM255" t="s">
        <v>388</v>
      </c>
      <c r="AN255" t="s">
        <v>389</v>
      </c>
      <c r="AO255" t="s">
        <v>622</v>
      </c>
      <c r="AP255" t="s">
        <v>623</v>
      </c>
      <c r="AQ255" t="s">
        <v>74</v>
      </c>
      <c r="AR255" t="s">
        <v>624</v>
      </c>
      <c r="AS255" t="s">
        <v>625</v>
      </c>
      <c r="AT255" t="s">
        <v>4135</v>
      </c>
      <c r="AU255">
        <v>2006</v>
      </c>
      <c r="AV255">
        <v>70</v>
      </c>
      <c r="AW255">
        <v>12</v>
      </c>
      <c r="AX255" t="s">
        <v>74</v>
      </c>
      <c r="AY255" t="s">
        <v>74</v>
      </c>
      <c r="AZ255" t="s">
        <v>74</v>
      </c>
      <c r="BA255" t="s">
        <v>74</v>
      </c>
      <c r="BB255">
        <v>3096</v>
      </c>
      <c r="BC255">
        <v>3120</v>
      </c>
      <c r="BD255" t="s">
        <v>74</v>
      </c>
      <c r="BE255" t="s">
        <v>4170</v>
      </c>
      <c r="BF255" t="str">
        <f>HYPERLINK("http://dx.doi.org/10.1016/j.gca.2006.03.010","http://dx.doi.org/10.1016/j.gca.2006.03.010")</f>
        <v>http://dx.doi.org/10.1016/j.gca.2006.03.010</v>
      </c>
      <c r="BG255" t="s">
        <v>74</v>
      </c>
      <c r="BH255" t="s">
        <v>74</v>
      </c>
      <c r="BI255">
        <v>25</v>
      </c>
      <c r="BJ255" t="s">
        <v>608</v>
      </c>
      <c r="BK255" t="s">
        <v>97</v>
      </c>
      <c r="BL255" t="s">
        <v>608</v>
      </c>
      <c r="BM255" t="s">
        <v>4171</v>
      </c>
      <c r="BN255" t="s">
        <v>74</v>
      </c>
      <c r="BO255" t="s">
        <v>74</v>
      </c>
      <c r="BP255" t="s">
        <v>74</v>
      </c>
      <c r="BQ255" t="s">
        <v>74</v>
      </c>
      <c r="BR255" t="s">
        <v>100</v>
      </c>
      <c r="BS255" t="s">
        <v>4172</v>
      </c>
      <c r="BT255" t="str">
        <f>HYPERLINK("https%3A%2F%2Fwww.webofscience.com%2Fwos%2Fwoscc%2Ffull-record%2FWOS:000238431700011","View Full Record in Web of Science")</f>
        <v>View Full Record in Web of Science</v>
      </c>
    </row>
    <row r="256" spans="1:72" x14ac:dyDescent="0.15">
      <c r="A256" t="s">
        <v>72</v>
      </c>
      <c r="B256" t="s">
        <v>4173</v>
      </c>
      <c r="C256" t="s">
        <v>74</v>
      </c>
      <c r="D256" t="s">
        <v>74</v>
      </c>
      <c r="E256" t="s">
        <v>74</v>
      </c>
      <c r="F256" t="s">
        <v>4174</v>
      </c>
      <c r="G256" t="s">
        <v>74</v>
      </c>
      <c r="H256" t="s">
        <v>74</v>
      </c>
      <c r="I256" t="s">
        <v>4175</v>
      </c>
      <c r="J256" t="s">
        <v>852</v>
      </c>
      <c r="K256" t="s">
        <v>74</v>
      </c>
      <c r="L256" t="s">
        <v>74</v>
      </c>
      <c r="M256" t="s">
        <v>78</v>
      </c>
      <c r="N256" t="s">
        <v>79</v>
      </c>
      <c r="O256" t="s">
        <v>74</v>
      </c>
      <c r="P256" t="s">
        <v>74</v>
      </c>
      <c r="Q256" t="s">
        <v>74</v>
      </c>
      <c r="R256" t="s">
        <v>74</v>
      </c>
      <c r="S256" t="s">
        <v>74</v>
      </c>
      <c r="T256" t="s">
        <v>74</v>
      </c>
      <c r="U256" t="s">
        <v>4176</v>
      </c>
      <c r="V256" t="s">
        <v>4177</v>
      </c>
      <c r="W256" t="s">
        <v>4178</v>
      </c>
      <c r="X256" t="s">
        <v>4179</v>
      </c>
      <c r="Y256" t="s">
        <v>4180</v>
      </c>
      <c r="Z256" t="s">
        <v>4181</v>
      </c>
      <c r="AA256" t="s">
        <v>4182</v>
      </c>
      <c r="AB256" t="s">
        <v>4183</v>
      </c>
      <c r="AC256" t="s">
        <v>74</v>
      </c>
      <c r="AD256" t="s">
        <v>74</v>
      </c>
      <c r="AE256" t="s">
        <v>74</v>
      </c>
      <c r="AF256" t="s">
        <v>74</v>
      </c>
      <c r="AG256">
        <v>35</v>
      </c>
      <c r="AH256">
        <v>390</v>
      </c>
      <c r="AI256">
        <v>441</v>
      </c>
      <c r="AJ256">
        <v>4</v>
      </c>
      <c r="AK256">
        <v>63</v>
      </c>
      <c r="AL256" t="s">
        <v>861</v>
      </c>
      <c r="AM256" t="s">
        <v>862</v>
      </c>
      <c r="AN256" t="s">
        <v>863</v>
      </c>
      <c r="AO256" t="s">
        <v>864</v>
      </c>
      <c r="AP256" t="s">
        <v>865</v>
      </c>
      <c r="AQ256" t="s">
        <v>74</v>
      </c>
      <c r="AR256" t="s">
        <v>866</v>
      </c>
      <c r="AS256" t="s">
        <v>867</v>
      </c>
      <c r="AT256" t="s">
        <v>4135</v>
      </c>
      <c r="AU256">
        <v>2006</v>
      </c>
      <c r="AV256">
        <v>19</v>
      </c>
      <c r="AW256">
        <v>12</v>
      </c>
      <c r="AX256" t="s">
        <v>74</v>
      </c>
      <c r="AY256" t="s">
        <v>74</v>
      </c>
      <c r="AZ256" t="s">
        <v>74</v>
      </c>
      <c r="BA256" t="s">
        <v>74</v>
      </c>
      <c r="BB256">
        <v>2896</v>
      </c>
      <c r="BC256">
        <v>2905</v>
      </c>
      <c r="BD256" t="s">
        <v>74</v>
      </c>
      <c r="BE256" t="s">
        <v>4184</v>
      </c>
      <c r="BF256" t="str">
        <f>HYPERLINK("http://dx.doi.org/10.1175/JCLI3774.1","http://dx.doi.org/10.1175/JCLI3774.1")</f>
        <v>http://dx.doi.org/10.1175/JCLI3774.1</v>
      </c>
      <c r="BG256" t="s">
        <v>74</v>
      </c>
      <c r="BH256" t="s">
        <v>74</v>
      </c>
      <c r="BI256">
        <v>10</v>
      </c>
      <c r="BJ256" t="s">
        <v>869</v>
      </c>
      <c r="BK256" t="s">
        <v>97</v>
      </c>
      <c r="BL256" t="s">
        <v>869</v>
      </c>
      <c r="BM256" t="s">
        <v>4185</v>
      </c>
      <c r="BN256" t="s">
        <v>74</v>
      </c>
      <c r="BO256" t="s">
        <v>901</v>
      </c>
      <c r="BP256" t="s">
        <v>74</v>
      </c>
      <c r="BQ256" t="s">
        <v>74</v>
      </c>
      <c r="BR256" t="s">
        <v>100</v>
      </c>
      <c r="BS256" t="s">
        <v>4186</v>
      </c>
      <c r="BT256" t="str">
        <f>HYPERLINK("https%3A%2F%2Fwww.webofscience.com%2Fwos%2Fwoscc%2Ffull-record%2FWOS:000238634500015","View Full Record in Web of Science")</f>
        <v>View Full Record in Web of Science</v>
      </c>
    </row>
    <row r="257" spans="1:72" x14ac:dyDescent="0.15">
      <c r="A257" t="s">
        <v>72</v>
      </c>
      <c r="B257" t="s">
        <v>4187</v>
      </c>
      <c r="C257" t="s">
        <v>74</v>
      </c>
      <c r="D257" t="s">
        <v>74</v>
      </c>
      <c r="E257" t="s">
        <v>74</v>
      </c>
      <c r="F257" t="s">
        <v>4188</v>
      </c>
      <c r="G257" t="s">
        <v>74</v>
      </c>
      <c r="H257" t="s">
        <v>74</v>
      </c>
      <c r="I257" t="s">
        <v>4189</v>
      </c>
      <c r="J257" t="s">
        <v>1772</v>
      </c>
      <c r="K257" t="s">
        <v>74</v>
      </c>
      <c r="L257" t="s">
        <v>74</v>
      </c>
      <c r="M257" t="s">
        <v>78</v>
      </c>
      <c r="N257" t="s">
        <v>79</v>
      </c>
      <c r="O257" t="s">
        <v>74</v>
      </c>
      <c r="P257" t="s">
        <v>74</v>
      </c>
      <c r="Q257" t="s">
        <v>74</v>
      </c>
      <c r="R257" t="s">
        <v>74</v>
      </c>
      <c r="S257" t="s">
        <v>74</v>
      </c>
      <c r="T257" t="s">
        <v>74</v>
      </c>
      <c r="U257" t="s">
        <v>4190</v>
      </c>
      <c r="V257" t="s">
        <v>4191</v>
      </c>
      <c r="W257" t="s">
        <v>4192</v>
      </c>
      <c r="X257" t="s">
        <v>4193</v>
      </c>
      <c r="Y257" t="s">
        <v>4194</v>
      </c>
      <c r="Z257" t="s">
        <v>4195</v>
      </c>
      <c r="AA257" t="s">
        <v>4196</v>
      </c>
      <c r="AB257" t="s">
        <v>4197</v>
      </c>
      <c r="AC257" t="s">
        <v>74</v>
      </c>
      <c r="AD257" t="s">
        <v>74</v>
      </c>
      <c r="AE257" t="s">
        <v>74</v>
      </c>
      <c r="AF257" t="s">
        <v>74</v>
      </c>
      <c r="AG257">
        <v>30</v>
      </c>
      <c r="AH257">
        <v>10</v>
      </c>
      <c r="AI257">
        <v>10</v>
      </c>
      <c r="AJ257">
        <v>0</v>
      </c>
      <c r="AK257">
        <v>5</v>
      </c>
      <c r="AL257" t="s">
        <v>1757</v>
      </c>
      <c r="AM257" t="s">
        <v>88</v>
      </c>
      <c r="AN257" t="s">
        <v>1758</v>
      </c>
      <c r="AO257" t="s">
        <v>1779</v>
      </c>
      <c r="AP257" t="s">
        <v>74</v>
      </c>
      <c r="AQ257" t="s">
        <v>74</v>
      </c>
      <c r="AR257" t="s">
        <v>1781</v>
      </c>
      <c r="AS257" t="s">
        <v>1782</v>
      </c>
      <c r="AT257" t="s">
        <v>4135</v>
      </c>
      <c r="AU257">
        <v>2006</v>
      </c>
      <c r="AV257">
        <v>111</v>
      </c>
      <c r="AW257" t="s">
        <v>4198</v>
      </c>
      <c r="AX257" t="s">
        <v>74</v>
      </c>
      <c r="AY257" t="s">
        <v>74</v>
      </c>
      <c r="AZ257" t="s">
        <v>74</v>
      </c>
      <c r="BA257" t="s">
        <v>74</v>
      </c>
      <c r="BB257" t="s">
        <v>74</v>
      </c>
      <c r="BC257" t="s">
        <v>74</v>
      </c>
      <c r="BD257" t="s">
        <v>4199</v>
      </c>
      <c r="BE257" t="s">
        <v>4200</v>
      </c>
      <c r="BF257" t="str">
        <f>HYPERLINK("http://dx.doi.org/10.1029/2005JD006448","http://dx.doi.org/10.1029/2005JD006448")</f>
        <v>http://dx.doi.org/10.1029/2005JD006448</v>
      </c>
      <c r="BG257" t="s">
        <v>74</v>
      </c>
      <c r="BH257" t="s">
        <v>74</v>
      </c>
      <c r="BI257">
        <v>11</v>
      </c>
      <c r="BJ257" t="s">
        <v>869</v>
      </c>
      <c r="BK257" t="s">
        <v>97</v>
      </c>
      <c r="BL257" t="s">
        <v>869</v>
      </c>
      <c r="BM257" t="s">
        <v>4201</v>
      </c>
      <c r="BN257" t="s">
        <v>74</v>
      </c>
      <c r="BO257" t="s">
        <v>74</v>
      </c>
      <c r="BP257" t="s">
        <v>74</v>
      </c>
      <c r="BQ257" t="s">
        <v>74</v>
      </c>
      <c r="BR257" t="s">
        <v>100</v>
      </c>
      <c r="BS257" t="s">
        <v>4202</v>
      </c>
      <c r="BT257" t="str">
        <f>HYPERLINK("https%3A%2F%2Fwww.webofscience.com%2Fwos%2Fwoscc%2Ffull-record%2FWOS:000238570500002","View Full Record in Web of Science")</f>
        <v>View Full Record in Web of Science</v>
      </c>
    </row>
    <row r="258" spans="1:72" x14ac:dyDescent="0.15">
      <c r="A258" t="s">
        <v>72</v>
      </c>
      <c r="B258" t="s">
        <v>4203</v>
      </c>
      <c r="C258" t="s">
        <v>74</v>
      </c>
      <c r="D258" t="s">
        <v>74</v>
      </c>
      <c r="E258" t="s">
        <v>74</v>
      </c>
      <c r="F258" t="s">
        <v>4204</v>
      </c>
      <c r="G258" t="s">
        <v>74</v>
      </c>
      <c r="H258" t="s">
        <v>74</v>
      </c>
      <c r="I258" t="s">
        <v>4205</v>
      </c>
      <c r="J258" t="s">
        <v>2470</v>
      </c>
      <c r="K258" t="s">
        <v>74</v>
      </c>
      <c r="L258" t="s">
        <v>74</v>
      </c>
      <c r="M258" t="s">
        <v>78</v>
      </c>
      <c r="N258" t="s">
        <v>511</v>
      </c>
      <c r="O258" t="s">
        <v>74</v>
      </c>
      <c r="P258" t="s">
        <v>74</v>
      </c>
      <c r="Q258" t="s">
        <v>74</v>
      </c>
      <c r="R258" t="s">
        <v>74</v>
      </c>
      <c r="S258" t="s">
        <v>74</v>
      </c>
      <c r="T258" t="s">
        <v>4206</v>
      </c>
      <c r="U258" t="s">
        <v>4207</v>
      </c>
      <c r="V258" t="s">
        <v>4208</v>
      </c>
      <c r="W258" t="s">
        <v>4209</v>
      </c>
      <c r="X258" t="s">
        <v>4210</v>
      </c>
      <c r="Y258" t="s">
        <v>4211</v>
      </c>
      <c r="Z258" t="s">
        <v>4212</v>
      </c>
      <c r="AA258" t="s">
        <v>4213</v>
      </c>
      <c r="AB258" t="s">
        <v>4214</v>
      </c>
      <c r="AC258" t="s">
        <v>74</v>
      </c>
      <c r="AD258" t="s">
        <v>74</v>
      </c>
      <c r="AE258" t="s">
        <v>74</v>
      </c>
      <c r="AF258" t="s">
        <v>74</v>
      </c>
      <c r="AG258">
        <v>110</v>
      </c>
      <c r="AH258">
        <v>62</v>
      </c>
      <c r="AI258">
        <v>69</v>
      </c>
      <c r="AJ258">
        <v>3</v>
      </c>
      <c r="AK258">
        <v>39</v>
      </c>
      <c r="AL258" t="s">
        <v>1261</v>
      </c>
      <c r="AM258" t="s">
        <v>520</v>
      </c>
      <c r="AN258" t="s">
        <v>1262</v>
      </c>
      <c r="AO258" t="s">
        <v>2478</v>
      </c>
      <c r="AP258" t="s">
        <v>2479</v>
      </c>
      <c r="AQ258" t="s">
        <v>74</v>
      </c>
      <c r="AR258" t="s">
        <v>2480</v>
      </c>
      <c r="AS258" t="s">
        <v>2481</v>
      </c>
      <c r="AT258" t="s">
        <v>4215</v>
      </c>
      <c r="AU258">
        <v>2006</v>
      </c>
      <c r="AV258">
        <v>333</v>
      </c>
      <c r="AW258">
        <v>2</v>
      </c>
      <c r="AX258" t="s">
        <v>74</v>
      </c>
      <c r="AY258" t="s">
        <v>74</v>
      </c>
      <c r="AZ258" t="s">
        <v>74</v>
      </c>
      <c r="BA258" t="s">
        <v>74</v>
      </c>
      <c r="BB258">
        <v>202</v>
      </c>
      <c r="BC258">
        <v>218</v>
      </c>
      <c r="BD258" t="s">
        <v>74</v>
      </c>
      <c r="BE258" t="s">
        <v>4216</v>
      </c>
      <c r="BF258" t="str">
        <f>HYPERLINK("http://dx.doi.org/10.1016/j.jembe.2005.12.045","http://dx.doi.org/10.1016/j.jembe.2005.12.045")</f>
        <v>http://dx.doi.org/10.1016/j.jembe.2005.12.045</v>
      </c>
      <c r="BG258" t="s">
        <v>74</v>
      </c>
      <c r="BH258" t="s">
        <v>74</v>
      </c>
      <c r="BI258">
        <v>17</v>
      </c>
      <c r="BJ258" t="s">
        <v>2483</v>
      </c>
      <c r="BK258" t="s">
        <v>97</v>
      </c>
      <c r="BL258" t="s">
        <v>1288</v>
      </c>
      <c r="BM258" t="s">
        <v>4217</v>
      </c>
      <c r="BN258" t="s">
        <v>74</v>
      </c>
      <c r="BO258" t="s">
        <v>74</v>
      </c>
      <c r="BP258" t="s">
        <v>74</v>
      </c>
      <c r="BQ258" t="s">
        <v>74</v>
      </c>
      <c r="BR258" t="s">
        <v>100</v>
      </c>
      <c r="BS258" t="s">
        <v>4218</v>
      </c>
      <c r="BT258" t="str">
        <f>HYPERLINK("https%3A%2F%2Fwww.webofscience.com%2Fwos%2Fwoscc%2Ffull-record%2FWOS:000238328400006","View Full Record in Web of Science")</f>
        <v>View Full Record in Web of Science</v>
      </c>
    </row>
    <row r="259" spans="1:72" x14ac:dyDescent="0.15">
      <c r="A259" t="s">
        <v>72</v>
      </c>
      <c r="B259" t="s">
        <v>4219</v>
      </c>
      <c r="C259" t="s">
        <v>74</v>
      </c>
      <c r="D259" t="s">
        <v>74</v>
      </c>
      <c r="E259" t="s">
        <v>74</v>
      </c>
      <c r="F259" t="s">
        <v>4220</v>
      </c>
      <c r="G259" t="s">
        <v>74</v>
      </c>
      <c r="H259" t="s">
        <v>74</v>
      </c>
      <c r="I259" t="s">
        <v>4221</v>
      </c>
      <c r="J259" t="s">
        <v>2470</v>
      </c>
      <c r="K259" t="s">
        <v>74</v>
      </c>
      <c r="L259" t="s">
        <v>74</v>
      </c>
      <c r="M259" t="s">
        <v>78</v>
      </c>
      <c r="N259" t="s">
        <v>79</v>
      </c>
      <c r="O259" t="s">
        <v>74</v>
      </c>
      <c r="P259" t="s">
        <v>74</v>
      </c>
      <c r="Q259" t="s">
        <v>74</v>
      </c>
      <c r="R259" t="s">
        <v>74</v>
      </c>
      <c r="S259" t="s">
        <v>74</v>
      </c>
      <c r="T259" t="s">
        <v>4222</v>
      </c>
      <c r="U259" t="s">
        <v>4223</v>
      </c>
      <c r="V259" t="s">
        <v>4224</v>
      </c>
      <c r="W259" t="s">
        <v>4225</v>
      </c>
      <c r="X259" t="s">
        <v>4226</v>
      </c>
      <c r="Y259" t="s">
        <v>4227</v>
      </c>
      <c r="Z259" t="s">
        <v>4228</v>
      </c>
      <c r="AA259" t="s">
        <v>4229</v>
      </c>
      <c r="AB259" t="s">
        <v>4230</v>
      </c>
      <c r="AC259" t="s">
        <v>74</v>
      </c>
      <c r="AD259" t="s">
        <v>74</v>
      </c>
      <c r="AE259" t="s">
        <v>74</v>
      </c>
      <c r="AF259" t="s">
        <v>74</v>
      </c>
      <c r="AG259">
        <v>47</v>
      </c>
      <c r="AH259">
        <v>17</v>
      </c>
      <c r="AI259">
        <v>19</v>
      </c>
      <c r="AJ259">
        <v>0</v>
      </c>
      <c r="AK259">
        <v>14</v>
      </c>
      <c r="AL259" t="s">
        <v>519</v>
      </c>
      <c r="AM259" t="s">
        <v>520</v>
      </c>
      <c r="AN259" t="s">
        <v>521</v>
      </c>
      <c r="AO259" t="s">
        <v>2478</v>
      </c>
      <c r="AP259" t="s">
        <v>2479</v>
      </c>
      <c r="AQ259" t="s">
        <v>74</v>
      </c>
      <c r="AR259" t="s">
        <v>2480</v>
      </c>
      <c r="AS259" t="s">
        <v>2481</v>
      </c>
      <c r="AT259" t="s">
        <v>4215</v>
      </c>
      <c r="AU259">
        <v>2006</v>
      </c>
      <c r="AV259">
        <v>333</v>
      </c>
      <c r="AW259">
        <v>2</v>
      </c>
      <c r="AX259" t="s">
        <v>74</v>
      </c>
      <c r="AY259" t="s">
        <v>74</v>
      </c>
      <c r="AZ259" t="s">
        <v>74</v>
      </c>
      <c r="BA259" t="s">
        <v>74</v>
      </c>
      <c r="BB259">
        <v>306</v>
      </c>
      <c r="BC259">
        <v>314</v>
      </c>
      <c r="BD259" t="s">
        <v>74</v>
      </c>
      <c r="BE259" t="s">
        <v>4231</v>
      </c>
      <c r="BF259" t="str">
        <f>HYPERLINK("http://dx.doi.org/10.1016/j.jembe.2006.01.010","http://dx.doi.org/10.1016/j.jembe.2006.01.010")</f>
        <v>http://dx.doi.org/10.1016/j.jembe.2006.01.010</v>
      </c>
      <c r="BG259" t="s">
        <v>74</v>
      </c>
      <c r="BH259" t="s">
        <v>74</v>
      </c>
      <c r="BI259">
        <v>9</v>
      </c>
      <c r="BJ259" t="s">
        <v>2483</v>
      </c>
      <c r="BK259" t="s">
        <v>97</v>
      </c>
      <c r="BL259" t="s">
        <v>1288</v>
      </c>
      <c r="BM259" t="s">
        <v>4217</v>
      </c>
      <c r="BN259" t="s">
        <v>74</v>
      </c>
      <c r="BO259" t="s">
        <v>74</v>
      </c>
      <c r="BP259" t="s">
        <v>74</v>
      </c>
      <c r="BQ259" t="s">
        <v>74</v>
      </c>
      <c r="BR259" t="s">
        <v>100</v>
      </c>
      <c r="BS259" t="s">
        <v>4232</v>
      </c>
      <c r="BT259" t="str">
        <f>HYPERLINK("https%3A%2F%2Fwww.webofscience.com%2Fwos%2Fwoscc%2Ffull-record%2FWOS:000238328400015","View Full Record in Web of Science")</f>
        <v>View Full Record in Web of Science</v>
      </c>
    </row>
    <row r="260" spans="1:72" x14ac:dyDescent="0.15">
      <c r="A260" t="s">
        <v>72</v>
      </c>
      <c r="B260" t="s">
        <v>4233</v>
      </c>
      <c r="C260" t="s">
        <v>74</v>
      </c>
      <c r="D260" t="s">
        <v>74</v>
      </c>
      <c r="E260" t="s">
        <v>74</v>
      </c>
      <c r="F260" t="s">
        <v>4234</v>
      </c>
      <c r="G260" t="s">
        <v>74</v>
      </c>
      <c r="H260" t="s">
        <v>74</v>
      </c>
      <c r="I260" t="s">
        <v>4235</v>
      </c>
      <c r="J260" t="s">
        <v>2354</v>
      </c>
      <c r="K260" t="s">
        <v>74</v>
      </c>
      <c r="L260" t="s">
        <v>74</v>
      </c>
      <c r="M260" t="s">
        <v>78</v>
      </c>
      <c r="N260" t="s">
        <v>79</v>
      </c>
      <c r="O260" t="s">
        <v>74</v>
      </c>
      <c r="P260" t="s">
        <v>74</v>
      </c>
      <c r="Q260" t="s">
        <v>74</v>
      </c>
      <c r="R260" t="s">
        <v>74</v>
      </c>
      <c r="S260" t="s">
        <v>74</v>
      </c>
      <c r="T260" t="s">
        <v>74</v>
      </c>
      <c r="U260" t="s">
        <v>4236</v>
      </c>
      <c r="V260" t="s">
        <v>4237</v>
      </c>
      <c r="W260" t="s">
        <v>4238</v>
      </c>
      <c r="X260" t="s">
        <v>4239</v>
      </c>
      <c r="Y260" t="s">
        <v>4240</v>
      </c>
      <c r="Z260" t="s">
        <v>4241</v>
      </c>
      <c r="AA260" t="s">
        <v>74</v>
      </c>
      <c r="AB260" t="s">
        <v>74</v>
      </c>
      <c r="AC260" t="s">
        <v>74</v>
      </c>
      <c r="AD260" t="s">
        <v>74</v>
      </c>
      <c r="AE260" t="s">
        <v>74</v>
      </c>
      <c r="AF260" t="s">
        <v>74</v>
      </c>
      <c r="AG260">
        <v>50</v>
      </c>
      <c r="AH260">
        <v>6</v>
      </c>
      <c r="AI260">
        <v>7</v>
      </c>
      <c r="AJ260">
        <v>0</v>
      </c>
      <c r="AK260">
        <v>3</v>
      </c>
      <c r="AL260" t="s">
        <v>1757</v>
      </c>
      <c r="AM260" t="s">
        <v>88</v>
      </c>
      <c r="AN260" t="s">
        <v>1758</v>
      </c>
      <c r="AO260" t="s">
        <v>2363</v>
      </c>
      <c r="AP260" t="s">
        <v>2364</v>
      </c>
      <c r="AQ260" t="s">
        <v>74</v>
      </c>
      <c r="AR260" t="s">
        <v>2365</v>
      </c>
      <c r="AS260" t="s">
        <v>2366</v>
      </c>
      <c r="AT260" t="s">
        <v>4215</v>
      </c>
      <c r="AU260">
        <v>2006</v>
      </c>
      <c r="AV260">
        <v>111</v>
      </c>
      <c r="AW260" t="s">
        <v>4097</v>
      </c>
      <c r="AX260" t="s">
        <v>74</v>
      </c>
      <c r="AY260" t="s">
        <v>74</v>
      </c>
      <c r="AZ260" t="s">
        <v>74</v>
      </c>
      <c r="BA260" t="s">
        <v>74</v>
      </c>
      <c r="BB260" t="s">
        <v>74</v>
      </c>
      <c r="BC260" t="s">
        <v>74</v>
      </c>
      <c r="BD260" t="s">
        <v>4242</v>
      </c>
      <c r="BE260" t="s">
        <v>4243</v>
      </c>
      <c r="BF260" t="str">
        <f>HYPERLINK("http://dx.doi.org/10.1029/2004JC002357","http://dx.doi.org/10.1029/2004JC002357")</f>
        <v>http://dx.doi.org/10.1029/2004JC002357</v>
      </c>
      <c r="BG260" t="s">
        <v>74</v>
      </c>
      <c r="BH260" t="s">
        <v>74</v>
      </c>
      <c r="BI260">
        <v>15</v>
      </c>
      <c r="BJ260" t="s">
        <v>1069</v>
      </c>
      <c r="BK260" t="s">
        <v>97</v>
      </c>
      <c r="BL260" t="s">
        <v>1069</v>
      </c>
      <c r="BM260" t="s">
        <v>4244</v>
      </c>
      <c r="BN260" t="s">
        <v>74</v>
      </c>
      <c r="BO260" t="s">
        <v>4245</v>
      </c>
      <c r="BP260" t="s">
        <v>74</v>
      </c>
      <c r="BQ260" t="s">
        <v>74</v>
      </c>
      <c r="BR260" t="s">
        <v>100</v>
      </c>
      <c r="BS260" t="s">
        <v>4246</v>
      </c>
      <c r="BT260" t="str">
        <f>HYPERLINK("https%3A%2F%2Fwww.webofscience.com%2Fwos%2Fwoscc%2Ffull-record%2FWOS:000238571300001","View Full Record in Web of Science")</f>
        <v>View Full Record in Web of Science</v>
      </c>
    </row>
    <row r="261" spans="1:72" x14ac:dyDescent="0.15">
      <c r="A261" t="s">
        <v>72</v>
      </c>
      <c r="B261" t="s">
        <v>4247</v>
      </c>
      <c r="C261" t="s">
        <v>74</v>
      </c>
      <c r="D261" t="s">
        <v>74</v>
      </c>
      <c r="E261" t="s">
        <v>74</v>
      </c>
      <c r="F261" t="s">
        <v>4248</v>
      </c>
      <c r="G261" t="s">
        <v>74</v>
      </c>
      <c r="H261" t="s">
        <v>74</v>
      </c>
      <c r="I261" t="s">
        <v>4249</v>
      </c>
      <c r="J261" t="s">
        <v>4250</v>
      </c>
      <c r="K261" t="s">
        <v>74</v>
      </c>
      <c r="L261" t="s">
        <v>74</v>
      </c>
      <c r="M261" t="s">
        <v>78</v>
      </c>
      <c r="N261" t="s">
        <v>79</v>
      </c>
      <c r="O261" t="s">
        <v>74</v>
      </c>
      <c r="P261" t="s">
        <v>74</v>
      </c>
      <c r="Q261" t="s">
        <v>74</v>
      </c>
      <c r="R261" t="s">
        <v>74</v>
      </c>
      <c r="S261" t="s">
        <v>74</v>
      </c>
      <c r="T261" t="s">
        <v>74</v>
      </c>
      <c r="U261" t="s">
        <v>4251</v>
      </c>
      <c r="V261" t="s">
        <v>4252</v>
      </c>
      <c r="W261" t="s">
        <v>4253</v>
      </c>
      <c r="X261" t="s">
        <v>4254</v>
      </c>
      <c r="Y261" t="s">
        <v>4255</v>
      </c>
      <c r="Z261" t="s">
        <v>4256</v>
      </c>
      <c r="AA261" t="s">
        <v>74</v>
      </c>
      <c r="AB261" t="s">
        <v>4257</v>
      </c>
      <c r="AC261" t="s">
        <v>74</v>
      </c>
      <c r="AD261" t="s">
        <v>74</v>
      </c>
      <c r="AE261" t="s">
        <v>74</v>
      </c>
      <c r="AF261" t="s">
        <v>74</v>
      </c>
      <c r="AG261">
        <v>68</v>
      </c>
      <c r="AH261">
        <v>49</v>
      </c>
      <c r="AI261">
        <v>51</v>
      </c>
      <c r="AJ261">
        <v>0</v>
      </c>
      <c r="AK261">
        <v>9</v>
      </c>
      <c r="AL261" t="s">
        <v>1757</v>
      </c>
      <c r="AM261" t="s">
        <v>88</v>
      </c>
      <c r="AN261" t="s">
        <v>1758</v>
      </c>
      <c r="AO261" t="s">
        <v>4258</v>
      </c>
      <c r="AP261" t="s">
        <v>4259</v>
      </c>
      <c r="AQ261" t="s">
        <v>74</v>
      </c>
      <c r="AR261" t="s">
        <v>4260</v>
      </c>
      <c r="AS261" t="s">
        <v>4261</v>
      </c>
      <c r="AT261" t="s">
        <v>4215</v>
      </c>
      <c r="AU261">
        <v>2006</v>
      </c>
      <c r="AV261">
        <v>111</v>
      </c>
      <c r="AW261" t="s">
        <v>4262</v>
      </c>
      <c r="AX261" t="s">
        <v>74</v>
      </c>
      <c r="AY261" t="s">
        <v>74</v>
      </c>
      <c r="AZ261" t="s">
        <v>74</v>
      </c>
      <c r="BA261" t="s">
        <v>74</v>
      </c>
      <c r="BB261" t="s">
        <v>74</v>
      </c>
      <c r="BC261" t="s">
        <v>74</v>
      </c>
      <c r="BD261" t="s">
        <v>4263</v>
      </c>
      <c r="BE261" t="s">
        <v>4264</v>
      </c>
      <c r="BF261" t="str">
        <f>HYPERLINK("http://dx.doi.org/10.1029/2006JB004361","http://dx.doi.org/10.1029/2006JB004361")</f>
        <v>http://dx.doi.org/10.1029/2006JB004361</v>
      </c>
      <c r="BG261" t="s">
        <v>74</v>
      </c>
      <c r="BH261" t="s">
        <v>74</v>
      </c>
      <c r="BI261">
        <v>14</v>
      </c>
      <c r="BJ261" t="s">
        <v>608</v>
      </c>
      <c r="BK261" t="s">
        <v>97</v>
      </c>
      <c r="BL261" t="s">
        <v>608</v>
      </c>
      <c r="BM261" t="s">
        <v>4265</v>
      </c>
      <c r="BN261" t="s">
        <v>74</v>
      </c>
      <c r="BO261" t="s">
        <v>1808</v>
      </c>
      <c r="BP261" t="s">
        <v>74</v>
      </c>
      <c r="BQ261" t="s">
        <v>74</v>
      </c>
      <c r="BR261" t="s">
        <v>100</v>
      </c>
      <c r="BS261" t="s">
        <v>4266</v>
      </c>
      <c r="BT261" t="str">
        <f>HYPERLINK("https%3A%2F%2Fwww.webofscience.com%2Fwos%2Fwoscc%2Ffull-record%2FWOS:000238572500005","View Full Record in Web of Science")</f>
        <v>View Full Record in Web of Science</v>
      </c>
    </row>
    <row r="262" spans="1:72" x14ac:dyDescent="0.15">
      <c r="A262" t="s">
        <v>72</v>
      </c>
      <c r="B262" t="s">
        <v>4267</v>
      </c>
      <c r="C262" t="s">
        <v>74</v>
      </c>
      <c r="D262" t="s">
        <v>74</v>
      </c>
      <c r="E262" t="s">
        <v>74</v>
      </c>
      <c r="F262" t="s">
        <v>4268</v>
      </c>
      <c r="G262" t="s">
        <v>74</v>
      </c>
      <c r="H262" t="s">
        <v>74</v>
      </c>
      <c r="I262" t="s">
        <v>4269</v>
      </c>
      <c r="J262" t="s">
        <v>4270</v>
      </c>
      <c r="K262" t="s">
        <v>74</v>
      </c>
      <c r="L262" t="s">
        <v>74</v>
      </c>
      <c r="M262" t="s">
        <v>78</v>
      </c>
      <c r="N262" t="s">
        <v>79</v>
      </c>
      <c r="O262" t="s">
        <v>74</v>
      </c>
      <c r="P262" t="s">
        <v>74</v>
      </c>
      <c r="Q262" t="s">
        <v>74</v>
      </c>
      <c r="R262" t="s">
        <v>74</v>
      </c>
      <c r="S262" t="s">
        <v>74</v>
      </c>
      <c r="T262" t="s">
        <v>4271</v>
      </c>
      <c r="U262" t="s">
        <v>4272</v>
      </c>
      <c r="V262" t="s">
        <v>4273</v>
      </c>
      <c r="W262" t="s">
        <v>4274</v>
      </c>
      <c r="X262" t="s">
        <v>4275</v>
      </c>
      <c r="Y262" t="s">
        <v>4276</v>
      </c>
      <c r="Z262" t="s">
        <v>4277</v>
      </c>
      <c r="AA262" t="s">
        <v>4278</v>
      </c>
      <c r="AB262" t="s">
        <v>4279</v>
      </c>
      <c r="AC262" t="s">
        <v>74</v>
      </c>
      <c r="AD262" t="s">
        <v>74</v>
      </c>
      <c r="AE262" t="s">
        <v>74</v>
      </c>
      <c r="AF262" t="s">
        <v>74</v>
      </c>
      <c r="AG262">
        <v>43</v>
      </c>
      <c r="AH262">
        <v>35</v>
      </c>
      <c r="AI262">
        <v>35</v>
      </c>
      <c r="AJ262">
        <v>0</v>
      </c>
      <c r="AK262">
        <v>5</v>
      </c>
      <c r="AL262" t="s">
        <v>1629</v>
      </c>
      <c r="AM262" t="s">
        <v>1630</v>
      </c>
      <c r="AN262" t="s">
        <v>1631</v>
      </c>
      <c r="AO262" t="s">
        <v>4280</v>
      </c>
      <c r="AP262" t="s">
        <v>4281</v>
      </c>
      <c r="AQ262" t="s">
        <v>74</v>
      </c>
      <c r="AR262" t="s">
        <v>4282</v>
      </c>
      <c r="AS262" t="s">
        <v>4283</v>
      </c>
      <c r="AT262" t="s">
        <v>4284</v>
      </c>
      <c r="AU262">
        <v>2006</v>
      </c>
      <c r="AV262">
        <v>644</v>
      </c>
      <c r="AW262">
        <v>1</v>
      </c>
      <c r="AX262">
        <v>1</v>
      </c>
      <c r="AY262" t="s">
        <v>74</v>
      </c>
      <c r="AZ262" t="s">
        <v>74</v>
      </c>
      <c r="BA262" t="s">
        <v>74</v>
      </c>
      <c r="BB262">
        <v>565</v>
      </c>
      <c r="BC262">
        <v>574</v>
      </c>
      <c r="BD262" t="s">
        <v>74</v>
      </c>
      <c r="BE262" t="s">
        <v>4285</v>
      </c>
      <c r="BF262" t="str">
        <f>HYPERLINK("http://dx.doi.org/10.1086/501519","http://dx.doi.org/10.1086/501519")</f>
        <v>http://dx.doi.org/10.1086/501519</v>
      </c>
      <c r="BG262" t="s">
        <v>74</v>
      </c>
      <c r="BH262" t="s">
        <v>74</v>
      </c>
      <c r="BI262">
        <v>10</v>
      </c>
      <c r="BJ262" t="s">
        <v>1637</v>
      </c>
      <c r="BK262" t="s">
        <v>97</v>
      </c>
      <c r="BL262" t="s">
        <v>1637</v>
      </c>
      <c r="BM262" t="s">
        <v>4286</v>
      </c>
      <c r="BN262" t="s">
        <v>74</v>
      </c>
      <c r="BO262" t="s">
        <v>460</v>
      </c>
      <c r="BP262" t="s">
        <v>74</v>
      </c>
      <c r="BQ262" t="s">
        <v>74</v>
      </c>
      <c r="BR262" t="s">
        <v>100</v>
      </c>
      <c r="BS262" t="s">
        <v>4287</v>
      </c>
      <c r="BT262" t="str">
        <f>HYPERLINK("https%3A%2F%2Fwww.webofscience.com%2Fwos%2Fwoscc%2Ffull-record%2FWOS:000238339200050","View Full Record in Web of Science")</f>
        <v>View Full Record in Web of Science</v>
      </c>
    </row>
    <row r="263" spans="1:72" x14ac:dyDescent="0.15">
      <c r="A263" t="s">
        <v>72</v>
      </c>
      <c r="B263" t="s">
        <v>4288</v>
      </c>
      <c r="C263" t="s">
        <v>74</v>
      </c>
      <c r="D263" t="s">
        <v>74</v>
      </c>
      <c r="E263" t="s">
        <v>74</v>
      </c>
      <c r="F263" t="s">
        <v>4289</v>
      </c>
      <c r="G263" t="s">
        <v>74</v>
      </c>
      <c r="H263" t="s">
        <v>74</v>
      </c>
      <c r="I263" t="s">
        <v>4290</v>
      </c>
      <c r="J263" t="s">
        <v>1748</v>
      </c>
      <c r="K263" t="s">
        <v>74</v>
      </c>
      <c r="L263" t="s">
        <v>74</v>
      </c>
      <c r="M263" t="s">
        <v>78</v>
      </c>
      <c r="N263" t="s">
        <v>79</v>
      </c>
      <c r="O263" t="s">
        <v>74</v>
      </c>
      <c r="P263" t="s">
        <v>74</v>
      </c>
      <c r="Q263" t="s">
        <v>74</v>
      </c>
      <c r="R263" t="s">
        <v>74</v>
      </c>
      <c r="S263" t="s">
        <v>74</v>
      </c>
      <c r="T263" t="s">
        <v>74</v>
      </c>
      <c r="U263" t="s">
        <v>4291</v>
      </c>
      <c r="V263" t="s">
        <v>4292</v>
      </c>
      <c r="W263" t="s">
        <v>4293</v>
      </c>
      <c r="X263" t="s">
        <v>4294</v>
      </c>
      <c r="Y263" t="s">
        <v>4295</v>
      </c>
      <c r="Z263" t="s">
        <v>4296</v>
      </c>
      <c r="AA263" t="s">
        <v>4297</v>
      </c>
      <c r="AB263" t="s">
        <v>4298</v>
      </c>
      <c r="AC263" t="s">
        <v>74</v>
      </c>
      <c r="AD263" t="s">
        <v>74</v>
      </c>
      <c r="AE263" t="s">
        <v>74</v>
      </c>
      <c r="AF263" t="s">
        <v>74</v>
      </c>
      <c r="AG263">
        <v>13</v>
      </c>
      <c r="AH263">
        <v>111</v>
      </c>
      <c r="AI263">
        <v>121</v>
      </c>
      <c r="AJ263">
        <v>1</v>
      </c>
      <c r="AK263">
        <v>9</v>
      </c>
      <c r="AL263" t="s">
        <v>1757</v>
      </c>
      <c r="AM263" t="s">
        <v>88</v>
      </c>
      <c r="AN263" t="s">
        <v>1758</v>
      </c>
      <c r="AO263" t="s">
        <v>1759</v>
      </c>
      <c r="AP263" t="s">
        <v>1760</v>
      </c>
      <c r="AQ263" t="s">
        <v>74</v>
      </c>
      <c r="AR263" t="s">
        <v>1761</v>
      </c>
      <c r="AS263" t="s">
        <v>1762</v>
      </c>
      <c r="AT263" t="s">
        <v>4299</v>
      </c>
      <c r="AU263">
        <v>2006</v>
      </c>
      <c r="AV263">
        <v>33</v>
      </c>
      <c r="AW263">
        <v>11</v>
      </c>
      <c r="AX263" t="s">
        <v>74</v>
      </c>
      <c r="AY263" t="s">
        <v>74</v>
      </c>
      <c r="AZ263" t="s">
        <v>74</v>
      </c>
      <c r="BA263" t="s">
        <v>74</v>
      </c>
      <c r="BB263" t="s">
        <v>74</v>
      </c>
      <c r="BC263" t="s">
        <v>74</v>
      </c>
      <c r="BD263" t="s">
        <v>4300</v>
      </c>
      <c r="BE263" t="s">
        <v>4301</v>
      </c>
      <c r="BF263" t="str">
        <f>HYPERLINK("http://dx.doi.org/10.1029/2006GL026369","http://dx.doi.org/10.1029/2006GL026369")</f>
        <v>http://dx.doi.org/10.1029/2006GL026369</v>
      </c>
      <c r="BG263" t="s">
        <v>74</v>
      </c>
      <c r="BH263" t="s">
        <v>74</v>
      </c>
      <c r="BI263">
        <v>4</v>
      </c>
      <c r="BJ263" t="s">
        <v>527</v>
      </c>
      <c r="BK263" t="s">
        <v>97</v>
      </c>
      <c r="BL263" t="s">
        <v>528</v>
      </c>
      <c r="BM263" t="s">
        <v>4302</v>
      </c>
      <c r="BN263" t="s">
        <v>74</v>
      </c>
      <c r="BO263" t="s">
        <v>460</v>
      </c>
      <c r="BP263" t="s">
        <v>74</v>
      </c>
      <c r="BQ263" t="s">
        <v>74</v>
      </c>
      <c r="BR263" t="s">
        <v>100</v>
      </c>
      <c r="BS263" t="s">
        <v>4303</v>
      </c>
      <c r="BT263" t="str">
        <f>HYPERLINK("https%3A%2F%2Fwww.webofscience.com%2Fwos%2Fwoscc%2Ffull-record%2FWOS:000238218500003","View Full Record in Web of Science")</f>
        <v>View Full Record in Web of Science</v>
      </c>
    </row>
    <row r="264" spans="1:72" x14ac:dyDescent="0.15">
      <c r="A264" t="s">
        <v>72</v>
      </c>
      <c r="B264" t="s">
        <v>4304</v>
      </c>
      <c r="C264" t="s">
        <v>74</v>
      </c>
      <c r="D264" t="s">
        <v>74</v>
      </c>
      <c r="E264" t="s">
        <v>74</v>
      </c>
      <c r="F264" t="s">
        <v>4305</v>
      </c>
      <c r="G264" t="s">
        <v>74</v>
      </c>
      <c r="H264" t="s">
        <v>74</v>
      </c>
      <c r="I264" t="s">
        <v>4306</v>
      </c>
      <c r="J264" t="s">
        <v>1772</v>
      </c>
      <c r="K264" t="s">
        <v>74</v>
      </c>
      <c r="L264" t="s">
        <v>74</v>
      </c>
      <c r="M264" t="s">
        <v>78</v>
      </c>
      <c r="N264" t="s">
        <v>79</v>
      </c>
      <c r="O264" t="s">
        <v>74</v>
      </c>
      <c r="P264" t="s">
        <v>74</v>
      </c>
      <c r="Q264" t="s">
        <v>74</v>
      </c>
      <c r="R264" t="s">
        <v>74</v>
      </c>
      <c r="S264" t="s">
        <v>74</v>
      </c>
      <c r="T264" t="s">
        <v>74</v>
      </c>
      <c r="U264" t="s">
        <v>4307</v>
      </c>
      <c r="V264" t="s">
        <v>4308</v>
      </c>
      <c r="W264" t="s">
        <v>4309</v>
      </c>
      <c r="X264" t="s">
        <v>4310</v>
      </c>
      <c r="Y264" t="s">
        <v>4311</v>
      </c>
      <c r="Z264" t="s">
        <v>4312</v>
      </c>
      <c r="AA264" t="s">
        <v>4313</v>
      </c>
      <c r="AB264" t="s">
        <v>4314</v>
      </c>
      <c r="AC264" t="s">
        <v>74</v>
      </c>
      <c r="AD264" t="s">
        <v>74</v>
      </c>
      <c r="AE264" t="s">
        <v>74</v>
      </c>
      <c r="AF264" t="s">
        <v>74</v>
      </c>
      <c r="AG264">
        <v>48</v>
      </c>
      <c r="AH264">
        <v>18</v>
      </c>
      <c r="AI264">
        <v>21</v>
      </c>
      <c r="AJ264">
        <v>1</v>
      </c>
      <c r="AK264">
        <v>15</v>
      </c>
      <c r="AL264" t="s">
        <v>1757</v>
      </c>
      <c r="AM264" t="s">
        <v>88</v>
      </c>
      <c r="AN264" t="s">
        <v>1758</v>
      </c>
      <c r="AO264" t="s">
        <v>1779</v>
      </c>
      <c r="AP264" t="s">
        <v>1780</v>
      </c>
      <c r="AQ264" t="s">
        <v>74</v>
      </c>
      <c r="AR264" t="s">
        <v>1781</v>
      </c>
      <c r="AS264" t="s">
        <v>1782</v>
      </c>
      <c r="AT264" t="s">
        <v>4299</v>
      </c>
      <c r="AU264">
        <v>2006</v>
      </c>
      <c r="AV264">
        <v>111</v>
      </c>
      <c r="AW264" t="s">
        <v>4198</v>
      </c>
      <c r="AX264" t="s">
        <v>74</v>
      </c>
      <c r="AY264" t="s">
        <v>74</v>
      </c>
      <c r="AZ264" t="s">
        <v>74</v>
      </c>
      <c r="BA264" t="s">
        <v>74</v>
      </c>
      <c r="BB264" t="s">
        <v>74</v>
      </c>
      <c r="BC264" t="s">
        <v>74</v>
      </c>
      <c r="BD264" t="s">
        <v>4315</v>
      </c>
      <c r="BE264" t="s">
        <v>4316</v>
      </c>
      <c r="BF264" t="str">
        <f>HYPERLINK("http://dx.doi.org/10.1029/2005JD006306","http://dx.doi.org/10.1029/2005JD006306")</f>
        <v>http://dx.doi.org/10.1029/2005JD006306</v>
      </c>
      <c r="BG264" t="s">
        <v>74</v>
      </c>
      <c r="BH264" t="s">
        <v>74</v>
      </c>
      <c r="BI264">
        <v>11</v>
      </c>
      <c r="BJ264" t="s">
        <v>869</v>
      </c>
      <c r="BK264" t="s">
        <v>97</v>
      </c>
      <c r="BL264" t="s">
        <v>869</v>
      </c>
      <c r="BM264" t="s">
        <v>4317</v>
      </c>
      <c r="BN264" t="s">
        <v>74</v>
      </c>
      <c r="BO264" t="s">
        <v>460</v>
      </c>
      <c r="BP264" t="s">
        <v>74</v>
      </c>
      <c r="BQ264" t="s">
        <v>74</v>
      </c>
      <c r="BR264" t="s">
        <v>100</v>
      </c>
      <c r="BS264" t="s">
        <v>4318</v>
      </c>
      <c r="BT264" t="str">
        <f>HYPERLINK("https%3A%2F%2Fwww.webofscience.com%2Fwos%2Fwoscc%2Ffull-record%2FWOS:000238219300001","View Full Record in Web of Science")</f>
        <v>View Full Record in Web of Science</v>
      </c>
    </row>
    <row r="265" spans="1:72" x14ac:dyDescent="0.15">
      <c r="A265" t="s">
        <v>72</v>
      </c>
      <c r="B265" t="s">
        <v>4319</v>
      </c>
      <c r="C265" t="s">
        <v>74</v>
      </c>
      <c r="D265" t="s">
        <v>74</v>
      </c>
      <c r="E265" t="s">
        <v>74</v>
      </c>
      <c r="F265" t="s">
        <v>4320</v>
      </c>
      <c r="G265" t="s">
        <v>74</v>
      </c>
      <c r="H265" t="s">
        <v>74</v>
      </c>
      <c r="I265" t="s">
        <v>4321</v>
      </c>
      <c r="J265" t="s">
        <v>1772</v>
      </c>
      <c r="K265" t="s">
        <v>74</v>
      </c>
      <c r="L265" t="s">
        <v>74</v>
      </c>
      <c r="M265" t="s">
        <v>78</v>
      </c>
      <c r="N265" t="s">
        <v>79</v>
      </c>
      <c r="O265" t="s">
        <v>74</v>
      </c>
      <c r="P265" t="s">
        <v>74</v>
      </c>
      <c r="Q265" t="s">
        <v>74</v>
      </c>
      <c r="R265" t="s">
        <v>74</v>
      </c>
      <c r="S265" t="s">
        <v>74</v>
      </c>
      <c r="T265" t="s">
        <v>74</v>
      </c>
      <c r="U265" t="s">
        <v>4322</v>
      </c>
      <c r="V265" t="s">
        <v>4323</v>
      </c>
      <c r="W265" t="s">
        <v>4324</v>
      </c>
      <c r="X265" t="s">
        <v>4325</v>
      </c>
      <c r="Y265" t="s">
        <v>4326</v>
      </c>
      <c r="Z265" t="s">
        <v>4327</v>
      </c>
      <c r="AA265" t="s">
        <v>4328</v>
      </c>
      <c r="AB265" t="s">
        <v>4329</v>
      </c>
      <c r="AC265" t="s">
        <v>74</v>
      </c>
      <c r="AD265" t="s">
        <v>74</v>
      </c>
      <c r="AE265" t="s">
        <v>74</v>
      </c>
      <c r="AF265" t="s">
        <v>74</v>
      </c>
      <c r="AG265">
        <v>41</v>
      </c>
      <c r="AH265">
        <v>7</v>
      </c>
      <c r="AI265">
        <v>7</v>
      </c>
      <c r="AJ265">
        <v>0</v>
      </c>
      <c r="AK265">
        <v>5</v>
      </c>
      <c r="AL265" t="s">
        <v>1757</v>
      </c>
      <c r="AM265" t="s">
        <v>88</v>
      </c>
      <c r="AN265" t="s">
        <v>1758</v>
      </c>
      <c r="AO265" t="s">
        <v>1779</v>
      </c>
      <c r="AP265" t="s">
        <v>1780</v>
      </c>
      <c r="AQ265" t="s">
        <v>74</v>
      </c>
      <c r="AR265" t="s">
        <v>1781</v>
      </c>
      <c r="AS265" t="s">
        <v>1782</v>
      </c>
      <c r="AT265" t="s">
        <v>4299</v>
      </c>
      <c r="AU265">
        <v>2006</v>
      </c>
      <c r="AV265">
        <v>111</v>
      </c>
      <c r="AW265" t="s">
        <v>4198</v>
      </c>
      <c r="AX265" t="s">
        <v>74</v>
      </c>
      <c r="AY265" t="s">
        <v>74</v>
      </c>
      <c r="AZ265" t="s">
        <v>74</v>
      </c>
      <c r="BA265" t="s">
        <v>74</v>
      </c>
      <c r="BB265" t="s">
        <v>74</v>
      </c>
      <c r="BC265" t="s">
        <v>74</v>
      </c>
      <c r="BD265" t="s">
        <v>4330</v>
      </c>
      <c r="BE265" t="s">
        <v>4331</v>
      </c>
      <c r="BF265" t="str">
        <f>HYPERLINK("http://dx.doi.org/10.1029/2005JD006384","http://dx.doi.org/10.1029/2005JD006384")</f>
        <v>http://dx.doi.org/10.1029/2005JD006384</v>
      </c>
      <c r="BG265" t="s">
        <v>74</v>
      </c>
      <c r="BH265" t="s">
        <v>74</v>
      </c>
      <c r="BI265">
        <v>12</v>
      </c>
      <c r="BJ265" t="s">
        <v>869</v>
      </c>
      <c r="BK265" t="s">
        <v>97</v>
      </c>
      <c r="BL265" t="s">
        <v>869</v>
      </c>
      <c r="BM265" t="s">
        <v>4317</v>
      </c>
      <c r="BN265" t="s">
        <v>74</v>
      </c>
      <c r="BO265" t="s">
        <v>74</v>
      </c>
      <c r="BP265" t="s">
        <v>74</v>
      </c>
      <c r="BQ265" t="s">
        <v>74</v>
      </c>
      <c r="BR265" t="s">
        <v>100</v>
      </c>
      <c r="BS265" t="s">
        <v>4332</v>
      </c>
      <c r="BT265" t="str">
        <f>HYPERLINK("https%3A%2F%2Fwww.webofscience.com%2Fwos%2Fwoscc%2Ffull-record%2FWOS:000238219300002","View Full Record in Web of Science")</f>
        <v>View Full Record in Web of Science</v>
      </c>
    </row>
    <row r="266" spans="1:72" x14ac:dyDescent="0.15">
      <c r="A266" t="s">
        <v>72</v>
      </c>
      <c r="B266" t="s">
        <v>4333</v>
      </c>
      <c r="C266" t="s">
        <v>74</v>
      </c>
      <c r="D266" t="s">
        <v>74</v>
      </c>
      <c r="E266" t="s">
        <v>74</v>
      </c>
      <c r="F266" t="s">
        <v>4333</v>
      </c>
      <c r="G266" t="s">
        <v>74</v>
      </c>
      <c r="H266" t="s">
        <v>74</v>
      </c>
      <c r="I266" t="s">
        <v>4334</v>
      </c>
      <c r="J266" t="s">
        <v>1828</v>
      </c>
      <c r="K266" t="s">
        <v>74</v>
      </c>
      <c r="L266" t="s">
        <v>74</v>
      </c>
      <c r="M266" t="s">
        <v>78</v>
      </c>
      <c r="N266" t="s">
        <v>79</v>
      </c>
      <c r="O266" t="s">
        <v>74</v>
      </c>
      <c r="P266" t="s">
        <v>74</v>
      </c>
      <c r="Q266" t="s">
        <v>74</v>
      </c>
      <c r="R266" t="s">
        <v>74</v>
      </c>
      <c r="S266" t="s">
        <v>74</v>
      </c>
      <c r="T266" t="s">
        <v>74</v>
      </c>
      <c r="U266" t="s">
        <v>4335</v>
      </c>
      <c r="V266" t="s">
        <v>4336</v>
      </c>
      <c r="W266" t="s">
        <v>4337</v>
      </c>
      <c r="X266" t="s">
        <v>4338</v>
      </c>
      <c r="Y266" t="s">
        <v>4339</v>
      </c>
      <c r="Z266" t="s">
        <v>4340</v>
      </c>
      <c r="AA266" t="s">
        <v>74</v>
      </c>
      <c r="AB266" t="s">
        <v>4341</v>
      </c>
      <c r="AC266" t="s">
        <v>74</v>
      </c>
      <c r="AD266" t="s">
        <v>74</v>
      </c>
      <c r="AE266" t="s">
        <v>74</v>
      </c>
      <c r="AF266" t="s">
        <v>74</v>
      </c>
      <c r="AG266">
        <v>31</v>
      </c>
      <c r="AH266">
        <v>231</v>
      </c>
      <c r="AI266">
        <v>273</v>
      </c>
      <c r="AJ266">
        <v>3</v>
      </c>
      <c r="AK266">
        <v>37</v>
      </c>
      <c r="AL266" t="s">
        <v>1836</v>
      </c>
      <c r="AM266" t="s">
        <v>88</v>
      </c>
      <c r="AN266" t="s">
        <v>1837</v>
      </c>
      <c r="AO266" t="s">
        <v>1838</v>
      </c>
      <c r="AP266" t="s">
        <v>74</v>
      </c>
      <c r="AQ266" t="s">
        <v>74</v>
      </c>
      <c r="AR266" t="s">
        <v>1828</v>
      </c>
      <c r="AS266" t="s">
        <v>1839</v>
      </c>
      <c r="AT266" t="s">
        <v>4299</v>
      </c>
      <c r="AU266">
        <v>2006</v>
      </c>
      <c r="AV266">
        <v>312</v>
      </c>
      <c r="AW266">
        <v>5779</v>
      </c>
      <c r="AX266" t="s">
        <v>74</v>
      </c>
      <c r="AY266" t="s">
        <v>74</v>
      </c>
      <c r="AZ266" t="s">
        <v>74</v>
      </c>
      <c r="BA266" t="s">
        <v>74</v>
      </c>
      <c r="BB266">
        <v>1510</v>
      </c>
      <c r="BC266">
        <v>1513</v>
      </c>
      <c r="BD266" t="s">
        <v>74</v>
      </c>
      <c r="BE266" t="s">
        <v>4342</v>
      </c>
      <c r="BF266" t="str">
        <f>HYPERLINK("http://dx.doi.org/10.1126/science.1122872","http://dx.doi.org/10.1126/science.1122872")</f>
        <v>http://dx.doi.org/10.1126/science.1122872</v>
      </c>
      <c r="BG266" t="s">
        <v>74</v>
      </c>
      <c r="BH266" t="s">
        <v>74</v>
      </c>
      <c r="BI266">
        <v>4</v>
      </c>
      <c r="BJ266" t="s">
        <v>1841</v>
      </c>
      <c r="BK266" t="s">
        <v>97</v>
      </c>
      <c r="BL266" t="s">
        <v>1842</v>
      </c>
      <c r="BM266" t="s">
        <v>4343</v>
      </c>
      <c r="BN266">
        <v>16763146</v>
      </c>
      <c r="BO266" t="s">
        <v>74</v>
      </c>
      <c r="BP266" t="s">
        <v>74</v>
      </c>
      <c r="BQ266" t="s">
        <v>74</v>
      </c>
      <c r="BR266" t="s">
        <v>100</v>
      </c>
      <c r="BS266" t="s">
        <v>4344</v>
      </c>
      <c r="BT266" t="str">
        <f>HYPERLINK("https%3A%2F%2Fwww.webofscience.com%2Fwos%2Fwoscc%2Ffull-record%2FWOS:000238124100044","View Full Record in Web of Science")</f>
        <v>View Full Record in Web of Science</v>
      </c>
    </row>
    <row r="267" spans="1:72" x14ac:dyDescent="0.15">
      <c r="A267" t="s">
        <v>72</v>
      </c>
      <c r="B267" t="s">
        <v>4345</v>
      </c>
      <c r="C267" t="s">
        <v>74</v>
      </c>
      <c r="D267" t="s">
        <v>74</v>
      </c>
      <c r="E267" t="s">
        <v>74</v>
      </c>
      <c r="F267" t="s">
        <v>4346</v>
      </c>
      <c r="G267" t="s">
        <v>74</v>
      </c>
      <c r="H267" t="s">
        <v>74</v>
      </c>
      <c r="I267" t="s">
        <v>4347</v>
      </c>
      <c r="J267" t="s">
        <v>1748</v>
      </c>
      <c r="K267" t="s">
        <v>74</v>
      </c>
      <c r="L267" t="s">
        <v>74</v>
      </c>
      <c r="M267" t="s">
        <v>78</v>
      </c>
      <c r="N267" t="s">
        <v>79</v>
      </c>
      <c r="O267" t="s">
        <v>74</v>
      </c>
      <c r="P267" t="s">
        <v>74</v>
      </c>
      <c r="Q267" t="s">
        <v>74</v>
      </c>
      <c r="R267" t="s">
        <v>74</v>
      </c>
      <c r="S267" t="s">
        <v>74</v>
      </c>
      <c r="T267" t="s">
        <v>74</v>
      </c>
      <c r="U267" t="s">
        <v>4348</v>
      </c>
      <c r="V267" t="s">
        <v>4349</v>
      </c>
      <c r="W267" t="s">
        <v>4350</v>
      </c>
      <c r="X267" t="s">
        <v>4351</v>
      </c>
      <c r="Y267" t="s">
        <v>4352</v>
      </c>
      <c r="Z267" t="s">
        <v>4353</v>
      </c>
      <c r="AA267" t="s">
        <v>74</v>
      </c>
      <c r="AB267" t="s">
        <v>74</v>
      </c>
      <c r="AC267" t="s">
        <v>74</v>
      </c>
      <c r="AD267" t="s">
        <v>74</v>
      </c>
      <c r="AE267" t="s">
        <v>74</v>
      </c>
      <c r="AF267" t="s">
        <v>74</v>
      </c>
      <c r="AG267">
        <v>35</v>
      </c>
      <c r="AH267">
        <v>29</v>
      </c>
      <c r="AI267">
        <v>34</v>
      </c>
      <c r="AJ267">
        <v>0</v>
      </c>
      <c r="AK267">
        <v>13</v>
      </c>
      <c r="AL267" t="s">
        <v>1757</v>
      </c>
      <c r="AM267" t="s">
        <v>88</v>
      </c>
      <c r="AN267" t="s">
        <v>1758</v>
      </c>
      <c r="AO267" t="s">
        <v>1759</v>
      </c>
      <c r="AP267" t="s">
        <v>1760</v>
      </c>
      <c r="AQ267" t="s">
        <v>74</v>
      </c>
      <c r="AR267" t="s">
        <v>1761</v>
      </c>
      <c r="AS267" t="s">
        <v>1762</v>
      </c>
      <c r="AT267" t="s">
        <v>4354</v>
      </c>
      <c r="AU267">
        <v>2006</v>
      </c>
      <c r="AV267">
        <v>33</v>
      </c>
      <c r="AW267">
        <v>11</v>
      </c>
      <c r="AX267" t="s">
        <v>74</v>
      </c>
      <c r="AY267" t="s">
        <v>74</v>
      </c>
      <c r="AZ267" t="s">
        <v>74</v>
      </c>
      <c r="BA267" t="s">
        <v>74</v>
      </c>
      <c r="BB267" t="s">
        <v>74</v>
      </c>
      <c r="BC267" t="s">
        <v>74</v>
      </c>
      <c r="BD267" t="s">
        <v>4355</v>
      </c>
      <c r="BE267" t="s">
        <v>4356</v>
      </c>
      <c r="BF267" t="str">
        <f>HYPERLINK("http://dx.doi.org/10.1029/2005GL025629","http://dx.doi.org/10.1029/2005GL025629")</f>
        <v>http://dx.doi.org/10.1029/2005GL025629</v>
      </c>
      <c r="BG267" t="s">
        <v>74</v>
      </c>
      <c r="BH267" t="s">
        <v>74</v>
      </c>
      <c r="BI267">
        <v>4</v>
      </c>
      <c r="BJ267" t="s">
        <v>527</v>
      </c>
      <c r="BK267" t="s">
        <v>97</v>
      </c>
      <c r="BL267" t="s">
        <v>528</v>
      </c>
      <c r="BM267" t="s">
        <v>4357</v>
      </c>
      <c r="BN267" t="s">
        <v>74</v>
      </c>
      <c r="BO267" t="s">
        <v>99</v>
      </c>
      <c r="BP267" t="s">
        <v>74</v>
      </c>
      <c r="BQ267" t="s">
        <v>74</v>
      </c>
      <c r="BR267" t="s">
        <v>100</v>
      </c>
      <c r="BS267" t="s">
        <v>4358</v>
      </c>
      <c r="BT267" t="str">
        <f>HYPERLINK("https%3A%2F%2Fwww.webofscience.com%2Fwos%2Fwoscc%2Ffull-record%2FWOS:000238218400001","View Full Record in Web of Science")</f>
        <v>View Full Record in Web of Science</v>
      </c>
    </row>
    <row r="268" spans="1:72" x14ac:dyDescent="0.15">
      <c r="A268" t="s">
        <v>72</v>
      </c>
      <c r="B268" t="s">
        <v>4359</v>
      </c>
      <c r="C268" t="s">
        <v>74</v>
      </c>
      <c r="D268" t="s">
        <v>74</v>
      </c>
      <c r="E268" t="s">
        <v>74</v>
      </c>
      <c r="F268" t="s">
        <v>4360</v>
      </c>
      <c r="G268" t="s">
        <v>74</v>
      </c>
      <c r="H268" t="s">
        <v>74</v>
      </c>
      <c r="I268" t="s">
        <v>4361</v>
      </c>
      <c r="J268" t="s">
        <v>1772</v>
      </c>
      <c r="K268" t="s">
        <v>74</v>
      </c>
      <c r="L268" t="s">
        <v>74</v>
      </c>
      <c r="M268" t="s">
        <v>78</v>
      </c>
      <c r="N268" t="s">
        <v>79</v>
      </c>
      <c r="O268" t="s">
        <v>74</v>
      </c>
      <c r="P268" t="s">
        <v>74</v>
      </c>
      <c r="Q268" t="s">
        <v>74</v>
      </c>
      <c r="R268" t="s">
        <v>74</v>
      </c>
      <c r="S268" t="s">
        <v>74</v>
      </c>
      <c r="T268" t="s">
        <v>74</v>
      </c>
      <c r="U268" t="s">
        <v>4362</v>
      </c>
      <c r="V268" t="s">
        <v>4363</v>
      </c>
      <c r="W268" t="s">
        <v>4364</v>
      </c>
      <c r="X268" t="s">
        <v>4365</v>
      </c>
      <c r="Y268" t="s">
        <v>4366</v>
      </c>
      <c r="Z268" t="s">
        <v>4367</v>
      </c>
      <c r="AA268" t="s">
        <v>4368</v>
      </c>
      <c r="AB268" t="s">
        <v>4369</v>
      </c>
      <c r="AC268" t="s">
        <v>74</v>
      </c>
      <c r="AD268" t="s">
        <v>74</v>
      </c>
      <c r="AE268" t="s">
        <v>74</v>
      </c>
      <c r="AF268" t="s">
        <v>74</v>
      </c>
      <c r="AG268">
        <v>12</v>
      </c>
      <c r="AH268">
        <v>38</v>
      </c>
      <c r="AI268">
        <v>40</v>
      </c>
      <c r="AJ268">
        <v>1</v>
      </c>
      <c r="AK268">
        <v>9</v>
      </c>
      <c r="AL268" t="s">
        <v>1757</v>
      </c>
      <c r="AM268" t="s">
        <v>88</v>
      </c>
      <c r="AN268" t="s">
        <v>1758</v>
      </c>
      <c r="AO268" t="s">
        <v>1779</v>
      </c>
      <c r="AP268" t="s">
        <v>1780</v>
      </c>
      <c r="AQ268" t="s">
        <v>74</v>
      </c>
      <c r="AR268" t="s">
        <v>1781</v>
      </c>
      <c r="AS268" t="s">
        <v>1782</v>
      </c>
      <c r="AT268" t="s">
        <v>4370</v>
      </c>
      <c r="AU268">
        <v>2006</v>
      </c>
      <c r="AV268">
        <v>111</v>
      </c>
      <c r="AW268" t="s">
        <v>4198</v>
      </c>
      <c r="AX268" t="s">
        <v>74</v>
      </c>
      <c r="AY268" t="s">
        <v>74</v>
      </c>
      <c r="AZ268" t="s">
        <v>74</v>
      </c>
      <c r="BA268" t="s">
        <v>74</v>
      </c>
      <c r="BB268" t="s">
        <v>74</v>
      </c>
      <c r="BC268" t="s">
        <v>74</v>
      </c>
      <c r="BD268" t="s">
        <v>4371</v>
      </c>
      <c r="BE268" t="s">
        <v>4372</v>
      </c>
      <c r="BF268" t="str">
        <f>HYPERLINK("http://dx.doi.org/10.1029/2005JD006334","http://dx.doi.org/10.1029/2005JD006334")</f>
        <v>http://dx.doi.org/10.1029/2005JD006334</v>
      </c>
      <c r="BG268" t="s">
        <v>74</v>
      </c>
      <c r="BH268" t="s">
        <v>74</v>
      </c>
      <c r="BI268">
        <v>15</v>
      </c>
      <c r="BJ268" t="s">
        <v>869</v>
      </c>
      <c r="BK268" t="s">
        <v>97</v>
      </c>
      <c r="BL268" t="s">
        <v>869</v>
      </c>
      <c r="BM268" t="s">
        <v>4373</v>
      </c>
      <c r="BN268" t="s">
        <v>74</v>
      </c>
      <c r="BO268" t="s">
        <v>460</v>
      </c>
      <c r="BP268" t="s">
        <v>74</v>
      </c>
      <c r="BQ268" t="s">
        <v>74</v>
      </c>
      <c r="BR268" t="s">
        <v>100</v>
      </c>
      <c r="BS268" t="s">
        <v>4374</v>
      </c>
      <c r="BT268" t="str">
        <f>HYPERLINK("https%3A%2F%2Fwww.webofscience.com%2Fwos%2Fwoscc%2Ffull-record%2FWOS:000238219200004","View Full Record in Web of Science")</f>
        <v>View Full Record in Web of Science</v>
      </c>
    </row>
    <row r="269" spans="1:72" x14ac:dyDescent="0.15">
      <c r="A269" t="s">
        <v>72</v>
      </c>
      <c r="B269" t="s">
        <v>4375</v>
      </c>
      <c r="C269" t="s">
        <v>74</v>
      </c>
      <c r="D269" t="s">
        <v>74</v>
      </c>
      <c r="E269" t="s">
        <v>74</v>
      </c>
      <c r="F269" t="s">
        <v>4376</v>
      </c>
      <c r="G269" t="s">
        <v>74</v>
      </c>
      <c r="H269" t="s">
        <v>74</v>
      </c>
      <c r="I269" t="s">
        <v>4377</v>
      </c>
      <c r="J269" t="s">
        <v>2521</v>
      </c>
      <c r="K269" t="s">
        <v>74</v>
      </c>
      <c r="L269" t="s">
        <v>74</v>
      </c>
      <c r="M269" t="s">
        <v>78</v>
      </c>
      <c r="N269" t="s">
        <v>79</v>
      </c>
      <c r="O269" t="s">
        <v>74</v>
      </c>
      <c r="P269" t="s">
        <v>74</v>
      </c>
      <c r="Q269" t="s">
        <v>74</v>
      </c>
      <c r="R269" t="s">
        <v>74</v>
      </c>
      <c r="S269" t="s">
        <v>74</v>
      </c>
      <c r="T269" t="s">
        <v>4378</v>
      </c>
      <c r="U269" t="s">
        <v>4379</v>
      </c>
      <c r="V269" t="s">
        <v>4380</v>
      </c>
      <c r="W269" t="s">
        <v>4381</v>
      </c>
      <c r="X269" t="s">
        <v>4382</v>
      </c>
      <c r="Y269" t="s">
        <v>4383</v>
      </c>
      <c r="Z269" t="s">
        <v>4384</v>
      </c>
      <c r="AA269" t="s">
        <v>4385</v>
      </c>
      <c r="AB269" t="s">
        <v>4386</v>
      </c>
      <c r="AC269" t="s">
        <v>2531</v>
      </c>
      <c r="AD269" t="s">
        <v>413</v>
      </c>
      <c r="AE269" t="s">
        <v>74</v>
      </c>
      <c r="AF269" t="s">
        <v>74</v>
      </c>
      <c r="AG269">
        <v>43</v>
      </c>
      <c r="AH269">
        <v>98</v>
      </c>
      <c r="AI269">
        <v>108</v>
      </c>
      <c r="AJ269">
        <v>5</v>
      </c>
      <c r="AK269">
        <v>85</v>
      </c>
      <c r="AL269" t="s">
        <v>2185</v>
      </c>
      <c r="AM269" t="s">
        <v>557</v>
      </c>
      <c r="AN269" t="s">
        <v>2165</v>
      </c>
      <c r="AO269" t="s">
        <v>2532</v>
      </c>
      <c r="AP269" t="s">
        <v>2533</v>
      </c>
      <c r="AQ269" t="s">
        <v>74</v>
      </c>
      <c r="AR269" t="s">
        <v>2534</v>
      </c>
      <c r="AS269" t="s">
        <v>2535</v>
      </c>
      <c r="AT269" t="s">
        <v>4370</v>
      </c>
      <c r="AU269">
        <v>2006</v>
      </c>
      <c r="AV269">
        <v>273</v>
      </c>
      <c r="AW269">
        <v>1592</v>
      </c>
      <c r="AX269" t="s">
        <v>74</v>
      </c>
      <c r="AY269" t="s">
        <v>74</v>
      </c>
      <c r="AZ269" t="s">
        <v>74</v>
      </c>
      <c r="BA269" t="s">
        <v>74</v>
      </c>
      <c r="BB269">
        <v>1435</v>
      </c>
      <c r="BC269">
        <v>1441</v>
      </c>
      <c r="BD269" t="s">
        <v>74</v>
      </c>
      <c r="BE269" t="s">
        <v>4387</v>
      </c>
      <c r="BF269" t="str">
        <f>HYPERLINK("http://dx.doi.org/10.1098/rspb.2005.3461","http://dx.doi.org/10.1098/rspb.2005.3461")</f>
        <v>http://dx.doi.org/10.1098/rspb.2005.3461</v>
      </c>
      <c r="BG269" t="s">
        <v>74</v>
      </c>
      <c r="BH269" t="s">
        <v>74</v>
      </c>
      <c r="BI269">
        <v>7</v>
      </c>
      <c r="BJ269" t="s">
        <v>2537</v>
      </c>
      <c r="BK269" t="s">
        <v>97</v>
      </c>
      <c r="BL269" t="s">
        <v>2538</v>
      </c>
      <c r="BM269" t="s">
        <v>4388</v>
      </c>
      <c r="BN269">
        <v>16777734</v>
      </c>
      <c r="BO269" t="s">
        <v>4389</v>
      </c>
      <c r="BP269" t="s">
        <v>74</v>
      </c>
      <c r="BQ269" t="s">
        <v>74</v>
      </c>
      <c r="BR269" t="s">
        <v>100</v>
      </c>
      <c r="BS269" t="s">
        <v>4390</v>
      </c>
      <c r="BT269" t="str">
        <f>HYPERLINK("https%3A%2F%2Fwww.webofscience.com%2Fwos%2Fwoscc%2Ffull-record%2FWOS:000237780100018","View Full Record in Web of Science")</f>
        <v>View Full Record in Web of Science</v>
      </c>
    </row>
    <row r="270" spans="1:72" x14ac:dyDescent="0.15">
      <c r="A270" t="s">
        <v>72</v>
      </c>
      <c r="B270" t="s">
        <v>4391</v>
      </c>
      <c r="C270" t="s">
        <v>74</v>
      </c>
      <c r="D270" t="s">
        <v>74</v>
      </c>
      <c r="E270" t="s">
        <v>74</v>
      </c>
      <c r="F270" t="s">
        <v>4392</v>
      </c>
      <c r="G270" t="s">
        <v>74</v>
      </c>
      <c r="H270" t="s">
        <v>74</v>
      </c>
      <c r="I270" t="s">
        <v>4393</v>
      </c>
      <c r="J270" t="s">
        <v>1748</v>
      </c>
      <c r="K270" t="s">
        <v>74</v>
      </c>
      <c r="L270" t="s">
        <v>74</v>
      </c>
      <c r="M270" t="s">
        <v>78</v>
      </c>
      <c r="N270" t="s">
        <v>79</v>
      </c>
      <c r="O270" t="s">
        <v>74</v>
      </c>
      <c r="P270" t="s">
        <v>74</v>
      </c>
      <c r="Q270" t="s">
        <v>74</v>
      </c>
      <c r="R270" t="s">
        <v>74</v>
      </c>
      <c r="S270" t="s">
        <v>74</v>
      </c>
      <c r="T270" t="s">
        <v>74</v>
      </c>
      <c r="U270" t="s">
        <v>4394</v>
      </c>
      <c r="V270" t="s">
        <v>4395</v>
      </c>
      <c r="W270" t="s">
        <v>4396</v>
      </c>
      <c r="X270" t="s">
        <v>4397</v>
      </c>
      <c r="Y270" t="s">
        <v>4398</v>
      </c>
      <c r="Z270" t="s">
        <v>4399</v>
      </c>
      <c r="AA270" t="s">
        <v>4400</v>
      </c>
      <c r="AB270" t="s">
        <v>4401</v>
      </c>
      <c r="AC270" t="s">
        <v>74</v>
      </c>
      <c r="AD270" t="s">
        <v>74</v>
      </c>
      <c r="AE270" t="s">
        <v>74</v>
      </c>
      <c r="AF270" t="s">
        <v>74</v>
      </c>
      <c r="AG270">
        <v>16</v>
      </c>
      <c r="AH270">
        <v>41</v>
      </c>
      <c r="AI270">
        <v>42</v>
      </c>
      <c r="AJ270">
        <v>0</v>
      </c>
      <c r="AK270">
        <v>4</v>
      </c>
      <c r="AL270" t="s">
        <v>1757</v>
      </c>
      <c r="AM270" t="s">
        <v>88</v>
      </c>
      <c r="AN270" t="s">
        <v>1758</v>
      </c>
      <c r="AO270" t="s">
        <v>1759</v>
      </c>
      <c r="AP270" t="s">
        <v>1760</v>
      </c>
      <c r="AQ270" t="s">
        <v>74</v>
      </c>
      <c r="AR270" t="s">
        <v>1761</v>
      </c>
      <c r="AS270" t="s">
        <v>1762</v>
      </c>
      <c r="AT270" t="s">
        <v>4402</v>
      </c>
      <c r="AU270">
        <v>2006</v>
      </c>
      <c r="AV270">
        <v>33</v>
      </c>
      <c r="AW270">
        <v>11</v>
      </c>
      <c r="AX270" t="s">
        <v>74</v>
      </c>
      <c r="AY270" t="s">
        <v>74</v>
      </c>
      <c r="AZ270" t="s">
        <v>74</v>
      </c>
      <c r="BA270" t="s">
        <v>74</v>
      </c>
      <c r="BB270" t="s">
        <v>74</v>
      </c>
      <c r="BC270" t="s">
        <v>74</v>
      </c>
      <c r="BD270" t="s">
        <v>4403</v>
      </c>
      <c r="BE270" t="s">
        <v>4404</v>
      </c>
      <c r="BF270" t="str">
        <f>HYPERLINK("http://dx.doi.org/10.1029/2006GL026122","http://dx.doi.org/10.1029/2006GL026122")</f>
        <v>http://dx.doi.org/10.1029/2006GL026122</v>
      </c>
      <c r="BG270" t="s">
        <v>74</v>
      </c>
      <c r="BH270" t="s">
        <v>74</v>
      </c>
      <c r="BI270">
        <v>4</v>
      </c>
      <c r="BJ270" t="s">
        <v>527</v>
      </c>
      <c r="BK270" t="s">
        <v>97</v>
      </c>
      <c r="BL270" t="s">
        <v>528</v>
      </c>
      <c r="BM270" t="s">
        <v>4405</v>
      </c>
      <c r="BN270" t="s">
        <v>74</v>
      </c>
      <c r="BO270" t="s">
        <v>99</v>
      </c>
      <c r="BP270" t="s">
        <v>74</v>
      </c>
      <c r="BQ270" t="s">
        <v>74</v>
      </c>
      <c r="BR270" t="s">
        <v>100</v>
      </c>
      <c r="BS270" t="s">
        <v>4406</v>
      </c>
      <c r="BT270" t="str">
        <f>HYPERLINK("https%3A%2F%2Fwww.webofscience.com%2Fwos%2Fwoscc%2Ffull-record%2FWOS:000238217800006","View Full Record in Web of Science")</f>
        <v>View Full Record in Web of Science</v>
      </c>
    </row>
    <row r="271" spans="1:72" x14ac:dyDescent="0.15">
      <c r="A271" t="s">
        <v>72</v>
      </c>
      <c r="B271" t="s">
        <v>4407</v>
      </c>
      <c r="C271" t="s">
        <v>74</v>
      </c>
      <c r="D271" t="s">
        <v>74</v>
      </c>
      <c r="E271" t="s">
        <v>74</v>
      </c>
      <c r="F271" t="s">
        <v>4408</v>
      </c>
      <c r="G271" t="s">
        <v>74</v>
      </c>
      <c r="H271" t="s">
        <v>74</v>
      </c>
      <c r="I271" t="s">
        <v>4409</v>
      </c>
      <c r="J271" t="s">
        <v>1772</v>
      </c>
      <c r="K271" t="s">
        <v>74</v>
      </c>
      <c r="L271" t="s">
        <v>74</v>
      </c>
      <c r="M271" t="s">
        <v>78</v>
      </c>
      <c r="N271" t="s">
        <v>79</v>
      </c>
      <c r="O271" t="s">
        <v>74</v>
      </c>
      <c r="P271" t="s">
        <v>74</v>
      </c>
      <c r="Q271" t="s">
        <v>74</v>
      </c>
      <c r="R271" t="s">
        <v>74</v>
      </c>
      <c r="S271" t="s">
        <v>74</v>
      </c>
      <c r="T271" t="s">
        <v>74</v>
      </c>
      <c r="U271" t="s">
        <v>4410</v>
      </c>
      <c r="V271" t="s">
        <v>4411</v>
      </c>
      <c r="W271" t="s">
        <v>4412</v>
      </c>
      <c r="X271" t="s">
        <v>4413</v>
      </c>
      <c r="Y271" t="s">
        <v>4414</v>
      </c>
      <c r="Z271" t="s">
        <v>4415</v>
      </c>
      <c r="AA271" t="s">
        <v>4416</v>
      </c>
      <c r="AB271" t="s">
        <v>4417</v>
      </c>
      <c r="AC271" t="s">
        <v>74</v>
      </c>
      <c r="AD271" t="s">
        <v>74</v>
      </c>
      <c r="AE271" t="s">
        <v>74</v>
      </c>
      <c r="AF271" t="s">
        <v>74</v>
      </c>
      <c r="AG271">
        <v>41</v>
      </c>
      <c r="AH271">
        <v>196</v>
      </c>
      <c r="AI271">
        <v>205</v>
      </c>
      <c r="AJ271">
        <v>0</v>
      </c>
      <c r="AK271">
        <v>23</v>
      </c>
      <c r="AL271" t="s">
        <v>1757</v>
      </c>
      <c r="AM271" t="s">
        <v>88</v>
      </c>
      <c r="AN271" t="s">
        <v>1758</v>
      </c>
      <c r="AO271" t="s">
        <v>1779</v>
      </c>
      <c r="AP271" t="s">
        <v>1780</v>
      </c>
      <c r="AQ271" t="s">
        <v>74</v>
      </c>
      <c r="AR271" t="s">
        <v>1781</v>
      </c>
      <c r="AS271" t="s">
        <v>1782</v>
      </c>
      <c r="AT271" t="s">
        <v>4418</v>
      </c>
      <c r="AU271">
        <v>2006</v>
      </c>
      <c r="AV271">
        <v>111</v>
      </c>
      <c r="AW271" t="s">
        <v>4198</v>
      </c>
      <c r="AX271" t="s">
        <v>74</v>
      </c>
      <c r="AY271" t="s">
        <v>74</v>
      </c>
      <c r="AZ271" t="s">
        <v>74</v>
      </c>
      <c r="BA271" t="s">
        <v>74</v>
      </c>
      <c r="BB271" t="s">
        <v>74</v>
      </c>
      <c r="BC271" t="s">
        <v>74</v>
      </c>
      <c r="BD271" t="s">
        <v>4419</v>
      </c>
      <c r="BE271" t="s">
        <v>4420</v>
      </c>
      <c r="BF271" t="str">
        <f>HYPERLINK("http://dx.doi.org/10.1029/2005JD006495","http://dx.doi.org/10.1029/2005JD006495")</f>
        <v>http://dx.doi.org/10.1029/2005JD006495</v>
      </c>
      <c r="BG271" t="s">
        <v>74</v>
      </c>
      <c r="BH271" t="s">
        <v>74</v>
      </c>
      <c r="BI271">
        <v>15</v>
      </c>
      <c r="BJ271" t="s">
        <v>869</v>
      </c>
      <c r="BK271" t="s">
        <v>97</v>
      </c>
      <c r="BL271" t="s">
        <v>869</v>
      </c>
      <c r="BM271" t="s">
        <v>4421</v>
      </c>
      <c r="BN271" t="s">
        <v>74</v>
      </c>
      <c r="BO271" t="s">
        <v>460</v>
      </c>
      <c r="BP271" t="s">
        <v>74</v>
      </c>
      <c r="BQ271" t="s">
        <v>74</v>
      </c>
      <c r="BR271" t="s">
        <v>100</v>
      </c>
      <c r="BS271" t="s">
        <v>4422</v>
      </c>
      <c r="BT271" t="str">
        <f>HYPERLINK("https%3A%2F%2Fwww.webofscience.com%2Fwos%2Fwoscc%2Ffull-record%2FWOS:000238071100002","View Full Record in Web of Science")</f>
        <v>View Full Record in Web of Science</v>
      </c>
    </row>
    <row r="272" spans="1:72" x14ac:dyDescent="0.15">
      <c r="A272" t="s">
        <v>72</v>
      </c>
      <c r="B272" t="s">
        <v>4423</v>
      </c>
      <c r="C272" t="s">
        <v>74</v>
      </c>
      <c r="D272" t="s">
        <v>74</v>
      </c>
      <c r="E272" t="s">
        <v>74</v>
      </c>
      <c r="F272" t="s">
        <v>4424</v>
      </c>
      <c r="G272" t="s">
        <v>74</v>
      </c>
      <c r="H272" t="s">
        <v>74</v>
      </c>
      <c r="I272" t="s">
        <v>4425</v>
      </c>
      <c r="J272" t="s">
        <v>1884</v>
      </c>
      <c r="K272" t="s">
        <v>74</v>
      </c>
      <c r="L272" t="s">
        <v>74</v>
      </c>
      <c r="M272" t="s">
        <v>78</v>
      </c>
      <c r="N272" t="s">
        <v>79</v>
      </c>
      <c r="O272" t="s">
        <v>74</v>
      </c>
      <c r="P272" t="s">
        <v>74</v>
      </c>
      <c r="Q272" t="s">
        <v>74</v>
      </c>
      <c r="R272" t="s">
        <v>74</v>
      </c>
      <c r="S272" t="s">
        <v>74</v>
      </c>
      <c r="T272" t="s">
        <v>74</v>
      </c>
      <c r="U272" t="s">
        <v>4426</v>
      </c>
      <c r="V272" t="s">
        <v>4427</v>
      </c>
      <c r="W272" t="s">
        <v>4428</v>
      </c>
      <c r="X272" t="s">
        <v>4429</v>
      </c>
      <c r="Y272" t="s">
        <v>4430</v>
      </c>
      <c r="Z272" t="s">
        <v>4431</v>
      </c>
      <c r="AA272" t="s">
        <v>4432</v>
      </c>
      <c r="AB272" t="s">
        <v>4433</v>
      </c>
      <c r="AC272" t="s">
        <v>74</v>
      </c>
      <c r="AD272" t="s">
        <v>74</v>
      </c>
      <c r="AE272" t="s">
        <v>74</v>
      </c>
      <c r="AF272" t="s">
        <v>74</v>
      </c>
      <c r="AG272">
        <v>33</v>
      </c>
      <c r="AH272">
        <v>18</v>
      </c>
      <c r="AI272">
        <v>19</v>
      </c>
      <c r="AJ272">
        <v>0</v>
      </c>
      <c r="AK272">
        <v>1</v>
      </c>
      <c r="AL272" t="s">
        <v>1893</v>
      </c>
      <c r="AM272" t="s">
        <v>1894</v>
      </c>
      <c r="AN272" t="s">
        <v>1895</v>
      </c>
      <c r="AO272" t="s">
        <v>1896</v>
      </c>
      <c r="AP272" t="s">
        <v>1897</v>
      </c>
      <c r="AQ272" t="s">
        <v>74</v>
      </c>
      <c r="AR272" t="s">
        <v>1898</v>
      </c>
      <c r="AS272" t="s">
        <v>1899</v>
      </c>
      <c r="AT272" t="s">
        <v>4434</v>
      </c>
      <c r="AU272">
        <v>2006</v>
      </c>
      <c r="AV272">
        <v>6</v>
      </c>
      <c r="AW272" t="s">
        <v>74</v>
      </c>
      <c r="AX272" t="s">
        <v>74</v>
      </c>
      <c r="AY272" t="s">
        <v>74</v>
      </c>
      <c r="AZ272" t="s">
        <v>74</v>
      </c>
      <c r="BA272" t="s">
        <v>74</v>
      </c>
      <c r="BB272">
        <v>1927</v>
      </c>
      <c r="BC272">
        <v>1936</v>
      </c>
      <c r="BD272" t="s">
        <v>74</v>
      </c>
      <c r="BE272" t="s">
        <v>4435</v>
      </c>
      <c r="BF272" t="str">
        <f>HYPERLINK("http://dx.doi.org/10.5194/acp-6-1927-2006","http://dx.doi.org/10.5194/acp-6-1927-2006")</f>
        <v>http://dx.doi.org/10.5194/acp-6-1927-2006</v>
      </c>
      <c r="BG272" t="s">
        <v>74</v>
      </c>
      <c r="BH272" t="s">
        <v>74</v>
      </c>
      <c r="BI272">
        <v>10</v>
      </c>
      <c r="BJ272" t="s">
        <v>395</v>
      </c>
      <c r="BK272" t="s">
        <v>97</v>
      </c>
      <c r="BL272" t="s">
        <v>396</v>
      </c>
      <c r="BM272" t="s">
        <v>4436</v>
      </c>
      <c r="BN272" t="s">
        <v>74</v>
      </c>
      <c r="BO272" t="s">
        <v>4437</v>
      </c>
      <c r="BP272" t="s">
        <v>74</v>
      </c>
      <c r="BQ272" t="s">
        <v>74</v>
      </c>
      <c r="BR272" t="s">
        <v>100</v>
      </c>
      <c r="BS272" t="s">
        <v>4438</v>
      </c>
      <c r="BT272" t="str">
        <f>HYPERLINK("https%3A%2F%2Fwww.webofscience.com%2Fwos%2Fwoscc%2Ffull-record%2FWOS:000237978600002","View Full Record in Web of Science")</f>
        <v>View Full Record in Web of Science</v>
      </c>
    </row>
    <row r="273" spans="1:72" x14ac:dyDescent="0.15">
      <c r="A273" t="s">
        <v>72</v>
      </c>
      <c r="B273" t="s">
        <v>4439</v>
      </c>
      <c r="C273" t="s">
        <v>74</v>
      </c>
      <c r="D273" t="s">
        <v>74</v>
      </c>
      <c r="E273" t="s">
        <v>74</v>
      </c>
      <c r="F273" t="s">
        <v>4440</v>
      </c>
      <c r="G273" t="s">
        <v>74</v>
      </c>
      <c r="H273" t="s">
        <v>74</v>
      </c>
      <c r="I273" t="s">
        <v>4441</v>
      </c>
      <c r="J273" t="s">
        <v>1772</v>
      </c>
      <c r="K273" t="s">
        <v>74</v>
      </c>
      <c r="L273" t="s">
        <v>74</v>
      </c>
      <c r="M273" t="s">
        <v>78</v>
      </c>
      <c r="N273" t="s">
        <v>79</v>
      </c>
      <c r="O273" t="s">
        <v>74</v>
      </c>
      <c r="P273" t="s">
        <v>74</v>
      </c>
      <c r="Q273" t="s">
        <v>74</v>
      </c>
      <c r="R273" t="s">
        <v>74</v>
      </c>
      <c r="S273" t="s">
        <v>74</v>
      </c>
      <c r="T273" t="s">
        <v>74</v>
      </c>
      <c r="U273" t="s">
        <v>4442</v>
      </c>
      <c r="V273" t="s">
        <v>4443</v>
      </c>
      <c r="W273" t="s">
        <v>4444</v>
      </c>
      <c r="X273" t="s">
        <v>4445</v>
      </c>
      <c r="Y273" t="s">
        <v>4446</v>
      </c>
      <c r="Z273" t="s">
        <v>4447</v>
      </c>
      <c r="AA273" t="s">
        <v>4448</v>
      </c>
      <c r="AB273" t="s">
        <v>4449</v>
      </c>
      <c r="AC273" t="s">
        <v>74</v>
      </c>
      <c r="AD273" t="s">
        <v>74</v>
      </c>
      <c r="AE273" t="s">
        <v>74</v>
      </c>
      <c r="AF273" t="s">
        <v>74</v>
      </c>
      <c r="AG273">
        <v>51</v>
      </c>
      <c r="AH273">
        <v>14</v>
      </c>
      <c r="AI273">
        <v>14</v>
      </c>
      <c r="AJ273">
        <v>0</v>
      </c>
      <c r="AK273">
        <v>1</v>
      </c>
      <c r="AL273" t="s">
        <v>1757</v>
      </c>
      <c r="AM273" t="s">
        <v>88</v>
      </c>
      <c r="AN273" t="s">
        <v>1758</v>
      </c>
      <c r="AO273" t="s">
        <v>1779</v>
      </c>
      <c r="AP273" t="s">
        <v>1780</v>
      </c>
      <c r="AQ273" t="s">
        <v>74</v>
      </c>
      <c r="AR273" t="s">
        <v>1781</v>
      </c>
      <c r="AS273" t="s">
        <v>1782</v>
      </c>
      <c r="AT273" t="s">
        <v>4434</v>
      </c>
      <c r="AU273">
        <v>2006</v>
      </c>
      <c r="AV273">
        <v>111</v>
      </c>
      <c r="AW273" t="s">
        <v>4198</v>
      </c>
      <c r="AX273" t="s">
        <v>74</v>
      </c>
      <c r="AY273" t="s">
        <v>74</v>
      </c>
      <c r="AZ273" t="s">
        <v>74</v>
      </c>
      <c r="BA273" t="s">
        <v>74</v>
      </c>
      <c r="BB273" t="s">
        <v>74</v>
      </c>
      <c r="BC273" t="s">
        <v>74</v>
      </c>
      <c r="BD273" t="s">
        <v>4450</v>
      </c>
      <c r="BE273" t="s">
        <v>4451</v>
      </c>
      <c r="BF273" t="str">
        <f>HYPERLINK("http://dx.doi.org/10.1029/2005JD006441","http://dx.doi.org/10.1029/2005JD006441")</f>
        <v>http://dx.doi.org/10.1029/2005JD006441</v>
      </c>
      <c r="BG273" t="s">
        <v>74</v>
      </c>
      <c r="BH273" t="s">
        <v>74</v>
      </c>
      <c r="BI273">
        <v>9</v>
      </c>
      <c r="BJ273" t="s">
        <v>869</v>
      </c>
      <c r="BK273" t="s">
        <v>97</v>
      </c>
      <c r="BL273" t="s">
        <v>869</v>
      </c>
      <c r="BM273" t="s">
        <v>4452</v>
      </c>
      <c r="BN273" t="s">
        <v>74</v>
      </c>
      <c r="BO273" t="s">
        <v>460</v>
      </c>
      <c r="BP273" t="s">
        <v>74</v>
      </c>
      <c r="BQ273" t="s">
        <v>74</v>
      </c>
      <c r="BR273" t="s">
        <v>100</v>
      </c>
      <c r="BS273" t="s">
        <v>4453</v>
      </c>
      <c r="BT273" t="str">
        <f>HYPERLINK("https%3A%2F%2Fwww.webofscience.com%2Fwos%2Fwoscc%2Ffull-record%2FWOS:000238070900003","View Full Record in Web of Science")</f>
        <v>View Full Record in Web of Science</v>
      </c>
    </row>
    <row r="274" spans="1:72" x14ac:dyDescent="0.15">
      <c r="A274" t="s">
        <v>72</v>
      </c>
      <c r="B274" t="s">
        <v>4454</v>
      </c>
      <c r="C274" t="s">
        <v>74</v>
      </c>
      <c r="D274" t="s">
        <v>74</v>
      </c>
      <c r="E274" t="s">
        <v>74</v>
      </c>
      <c r="F274" t="s">
        <v>4455</v>
      </c>
      <c r="G274" t="s">
        <v>74</v>
      </c>
      <c r="H274" t="s">
        <v>74</v>
      </c>
      <c r="I274" t="s">
        <v>4456</v>
      </c>
      <c r="J274" t="s">
        <v>1943</v>
      </c>
      <c r="K274" t="s">
        <v>74</v>
      </c>
      <c r="L274" t="s">
        <v>74</v>
      </c>
      <c r="M274" t="s">
        <v>78</v>
      </c>
      <c r="N274" t="s">
        <v>79</v>
      </c>
      <c r="O274" t="s">
        <v>74</v>
      </c>
      <c r="P274" t="s">
        <v>74</v>
      </c>
      <c r="Q274" t="s">
        <v>74</v>
      </c>
      <c r="R274" t="s">
        <v>74</v>
      </c>
      <c r="S274" t="s">
        <v>74</v>
      </c>
      <c r="T274" t="s">
        <v>74</v>
      </c>
      <c r="U274" t="s">
        <v>4457</v>
      </c>
      <c r="V274" t="s">
        <v>4458</v>
      </c>
      <c r="W274" t="s">
        <v>4459</v>
      </c>
      <c r="X274" t="s">
        <v>4460</v>
      </c>
      <c r="Y274" t="s">
        <v>4461</v>
      </c>
      <c r="Z274" t="s">
        <v>4462</v>
      </c>
      <c r="AA274" t="s">
        <v>4463</v>
      </c>
      <c r="AB274" t="s">
        <v>4464</v>
      </c>
      <c r="AC274" t="s">
        <v>74</v>
      </c>
      <c r="AD274" t="s">
        <v>74</v>
      </c>
      <c r="AE274" t="s">
        <v>74</v>
      </c>
      <c r="AF274" t="s">
        <v>74</v>
      </c>
      <c r="AG274">
        <v>72</v>
      </c>
      <c r="AH274">
        <v>74</v>
      </c>
      <c r="AI274">
        <v>79</v>
      </c>
      <c r="AJ274">
        <v>0</v>
      </c>
      <c r="AK274">
        <v>12</v>
      </c>
      <c r="AL274" t="s">
        <v>1757</v>
      </c>
      <c r="AM274" t="s">
        <v>88</v>
      </c>
      <c r="AN274" t="s">
        <v>1758</v>
      </c>
      <c r="AO274" t="s">
        <v>1950</v>
      </c>
      <c r="AP274" t="s">
        <v>1951</v>
      </c>
      <c r="AQ274" t="s">
        <v>74</v>
      </c>
      <c r="AR274" t="s">
        <v>1943</v>
      </c>
      <c r="AS274" t="s">
        <v>1952</v>
      </c>
      <c r="AT274" t="s">
        <v>4434</v>
      </c>
      <c r="AU274">
        <v>2006</v>
      </c>
      <c r="AV274">
        <v>21</v>
      </c>
      <c r="AW274">
        <v>2</v>
      </c>
      <c r="AX274" t="s">
        <v>74</v>
      </c>
      <c r="AY274" t="s">
        <v>74</v>
      </c>
      <c r="AZ274" t="s">
        <v>74</v>
      </c>
      <c r="BA274" t="s">
        <v>74</v>
      </c>
      <c r="BB274" t="s">
        <v>74</v>
      </c>
      <c r="BC274" t="s">
        <v>74</v>
      </c>
      <c r="BD274" t="s">
        <v>4465</v>
      </c>
      <c r="BE274" t="s">
        <v>4466</v>
      </c>
      <c r="BF274" t="str">
        <f>HYPERLINK("http://dx.doi.org/10.1029/2005PA001204","http://dx.doi.org/10.1029/2005PA001204")</f>
        <v>http://dx.doi.org/10.1029/2005PA001204</v>
      </c>
      <c r="BG274" t="s">
        <v>74</v>
      </c>
      <c r="BH274" t="s">
        <v>74</v>
      </c>
      <c r="BI274">
        <v>11</v>
      </c>
      <c r="BJ274" t="s">
        <v>1955</v>
      </c>
      <c r="BK274" t="s">
        <v>97</v>
      </c>
      <c r="BL274" t="s">
        <v>1956</v>
      </c>
      <c r="BM274" t="s">
        <v>4467</v>
      </c>
      <c r="BN274" t="s">
        <v>74</v>
      </c>
      <c r="BO274" t="s">
        <v>460</v>
      </c>
      <c r="BP274" t="s">
        <v>74</v>
      </c>
      <c r="BQ274" t="s">
        <v>74</v>
      </c>
      <c r="BR274" t="s">
        <v>100</v>
      </c>
      <c r="BS274" t="s">
        <v>4468</v>
      </c>
      <c r="BT274" t="str">
        <f>HYPERLINK("https%3A%2F%2Fwww.webofscience.com%2Fwos%2Fwoscc%2Ffull-record%2FWOS:000238074200001","View Full Record in Web of Science")</f>
        <v>View Full Record in Web of Science</v>
      </c>
    </row>
    <row r="275" spans="1:72" x14ac:dyDescent="0.15">
      <c r="A275" t="s">
        <v>72</v>
      </c>
      <c r="B275" t="s">
        <v>4469</v>
      </c>
      <c r="C275" t="s">
        <v>74</v>
      </c>
      <c r="D275" t="s">
        <v>74</v>
      </c>
      <c r="E275" t="s">
        <v>74</v>
      </c>
      <c r="F275" t="s">
        <v>4469</v>
      </c>
      <c r="G275" t="s">
        <v>74</v>
      </c>
      <c r="H275" t="s">
        <v>74</v>
      </c>
      <c r="I275" t="s">
        <v>4470</v>
      </c>
      <c r="J275" t="s">
        <v>4471</v>
      </c>
      <c r="K275" t="s">
        <v>74</v>
      </c>
      <c r="L275" t="s">
        <v>74</v>
      </c>
      <c r="M275" t="s">
        <v>78</v>
      </c>
      <c r="N275" t="s">
        <v>79</v>
      </c>
      <c r="O275" t="s">
        <v>74</v>
      </c>
      <c r="P275" t="s">
        <v>74</v>
      </c>
      <c r="Q275" t="s">
        <v>74</v>
      </c>
      <c r="R275" t="s">
        <v>74</v>
      </c>
      <c r="S275" t="s">
        <v>74</v>
      </c>
      <c r="T275" t="s">
        <v>74</v>
      </c>
      <c r="U275" t="s">
        <v>74</v>
      </c>
      <c r="V275" t="s">
        <v>74</v>
      </c>
      <c r="W275" t="s">
        <v>74</v>
      </c>
      <c r="X275" t="s">
        <v>74</v>
      </c>
      <c r="Y275" t="s">
        <v>74</v>
      </c>
      <c r="Z275" t="s">
        <v>4472</v>
      </c>
      <c r="AA275" t="s">
        <v>74</v>
      </c>
      <c r="AB275" t="s">
        <v>74</v>
      </c>
      <c r="AC275" t="s">
        <v>74</v>
      </c>
      <c r="AD275" t="s">
        <v>74</v>
      </c>
      <c r="AE275" t="s">
        <v>74</v>
      </c>
      <c r="AF275" t="s">
        <v>74</v>
      </c>
      <c r="AG275">
        <v>0</v>
      </c>
      <c r="AH275">
        <v>0</v>
      </c>
      <c r="AI275">
        <v>0</v>
      </c>
      <c r="AJ275">
        <v>0</v>
      </c>
      <c r="AK275">
        <v>1</v>
      </c>
      <c r="AL275" t="s">
        <v>4473</v>
      </c>
      <c r="AM275" t="s">
        <v>4474</v>
      </c>
      <c r="AN275" t="s">
        <v>4475</v>
      </c>
      <c r="AO275" t="s">
        <v>4476</v>
      </c>
      <c r="AP275" t="s">
        <v>74</v>
      </c>
      <c r="AQ275" t="s">
        <v>74</v>
      </c>
      <c r="AR275" t="s">
        <v>4477</v>
      </c>
      <c r="AS275" t="s">
        <v>4478</v>
      </c>
      <c r="AT275" t="s">
        <v>4479</v>
      </c>
      <c r="AU275">
        <v>2006</v>
      </c>
      <c r="AV275">
        <v>44</v>
      </c>
      <c r="AW275">
        <v>6</v>
      </c>
      <c r="AX275" t="s">
        <v>74</v>
      </c>
      <c r="AY275" t="s">
        <v>74</v>
      </c>
      <c r="AZ275" t="s">
        <v>74</v>
      </c>
      <c r="BA275" t="s">
        <v>74</v>
      </c>
      <c r="BB275">
        <v>24</v>
      </c>
      <c r="BC275">
        <v>25</v>
      </c>
      <c r="BD275" t="s">
        <v>74</v>
      </c>
      <c r="BE275" t="s">
        <v>74</v>
      </c>
      <c r="BF275" t="s">
        <v>74</v>
      </c>
      <c r="BG275" t="s">
        <v>74</v>
      </c>
      <c r="BH275" t="s">
        <v>74</v>
      </c>
      <c r="BI275">
        <v>2</v>
      </c>
      <c r="BJ275" t="s">
        <v>4480</v>
      </c>
      <c r="BK275" t="s">
        <v>97</v>
      </c>
      <c r="BL275" t="s">
        <v>4481</v>
      </c>
      <c r="BM275" t="s">
        <v>4482</v>
      </c>
      <c r="BN275" t="s">
        <v>74</v>
      </c>
      <c r="BO275" t="s">
        <v>74</v>
      </c>
      <c r="BP275" t="s">
        <v>74</v>
      </c>
      <c r="BQ275" t="s">
        <v>74</v>
      </c>
      <c r="BR275" t="s">
        <v>100</v>
      </c>
      <c r="BS275" t="s">
        <v>4483</v>
      </c>
      <c r="BT275" t="str">
        <f>HYPERLINK("https%3A%2F%2Fwww.webofscience.com%2Fwos%2Fwoscc%2Ffull-record%2FWOS:000238379800008","View Full Record in Web of Science")</f>
        <v>View Full Record in Web of Science</v>
      </c>
    </row>
    <row r="276" spans="1:72" x14ac:dyDescent="0.15">
      <c r="A276" t="s">
        <v>72</v>
      </c>
      <c r="B276" t="s">
        <v>4484</v>
      </c>
      <c r="C276" t="s">
        <v>74</v>
      </c>
      <c r="D276" t="s">
        <v>74</v>
      </c>
      <c r="E276" t="s">
        <v>74</v>
      </c>
      <c r="F276" t="s">
        <v>4484</v>
      </c>
      <c r="G276" t="s">
        <v>74</v>
      </c>
      <c r="H276" t="s">
        <v>74</v>
      </c>
      <c r="I276" t="s">
        <v>4485</v>
      </c>
      <c r="J276" t="s">
        <v>4486</v>
      </c>
      <c r="K276" t="s">
        <v>74</v>
      </c>
      <c r="L276" t="s">
        <v>74</v>
      </c>
      <c r="M276" t="s">
        <v>78</v>
      </c>
      <c r="N276" t="s">
        <v>552</v>
      </c>
      <c r="O276" t="s">
        <v>74</v>
      </c>
      <c r="P276" t="s">
        <v>74</v>
      </c>
      <c r="Q276" t="s">
        <v>74</v>
      </c>
      <c r="R276" t="s">
        <v>74</v>
      </c>
      <c r="S276" t="s">
        <v>74</v>
      </c>
      <c r="T276" t="s">
        <v>74</v>
      </c>
      <c r="U276" t="s">
        <v>74</v>
      </c>
      <c r="V276" t="s">
        <v>74</v>
      </c>
      <c r="W276" t="s">
        <v>74</v>
      </c>
      <c r="X276" t="s">
        <v>74</v>
      </c>
      <c r="Y276" t="s">
        <v>74</v>
      </c>
      <c r="Z276" t="s">
        <v>74</v>
      </c>
      <c r="AA276" t="s">
        <v>74</v>
      </c>
      <c r="AB276" t="s">
        <v>4487</v>
      </c>
      <c r="AC276" t="s">
        <v>4488</v>
      </c>
      <c r="AD276" t="s">
        <v>413</v>
      </c>
      <c r="AE276" t="s">
        <v>74</v>
      </c>
      <c r="AF276" t="s">
        <v>74</v>
      </c>
      <c r="AG276">
        <v>0</v>
      </c>
      <c r="AH276">
        <v>0</v>
      </c>
      <c r="AI276">
        <v>0</v>
      </c>
      <c r="AJ276">
        <v>0</v>
      </c>
      <c r="AK276">
        <v>1</v>
      </c>
      <c r="AL276" t="s">
        <v>1139</v>
      </c>
      <c r="AM276" t="s">
        <v>476</v>
      </c>
      <c r="AN276" t="s">
        <v>4489</v>
      </c>
      <c r="AO276" t="s">
        <v>4490</v>
      </c>
      <c r="AP276" t="s">
        <v>74</v>
      </c>
      <c r="AQ276" t="s">
        <v>74</v>
      </c>
      <c r="AR276" t="s">
        <v>4491</v>
      </c>
      <c r="AS276" t="s">
        <v>4492</v>
      </c>
      <c r="AT276" t="s">
        <v>4479</v>
      </c>
      <c r="AU276">
        <v>2006</v>
      </c>
      <c r="AV276">
        <v>18</v>
      </c>
      <c r="AW276">
        <v>2</v>
      </c>
      <c r="AX276" t="s">
        <v>74</v>
      </c>
      <c r="AY276" t="s">
        <v>74</v>
      </c>
      <c r="AZ276" t="s">
        <v>74</v>
      </c>
      <c r="BA276" t="s">
        <v>74</v>
      </c>
      <c r="BB276">
        <v>161</v>
      </c>
      <c r="BC276">
        <v>161</v>
      </c>
      <c r="BD276" t="s">
        <v>74</v>
      </c>
      <c r="BE276" t="s">
        <v>4493</v>
      </c>
      <c r="BF276" t="str">
        <f>HYPERLINK("http://dx.doi.org/10.1017/S0954102006000174","http://dx.doi.org/10.1017/S0954102006000174")</f>
        <v>http://dx.doi.org/10.1017/S0954102006000174</v>
      </c>
      <c r="BG276" t="s">
        <v>74</v>
      </c>
      <c r="BH276" t="s">
        <v>74</v>
      </c>
      <c r="BI276">
        <v>1</v>
      </c>
      <c r="BJ276" t="s">
        <v>4494</v>
      </c>
      <c r="BK276" t="s">
        <v>97</v>
      </c>
      <c r="BL276" t="s">
        <v>4495</v>
      </c>
      <c r="BM276" t="s">
        <v>4496</v>
      </c>
      <c r="BN276" t="s">
        <v>74</v>
      </c>
      <c r="BO276" t="s">
        <v>460</v>
      </c>
      <c r="BP276" t="s">
        <v>74</v>
      </c>
      <c r="BQ276" t="s">
        <v>74</v>
      </c>
      <c r="BR276" t="s">
        <v>100</v>
      </c>
      <c r="BS276" t="s">
        <v>4497</v>
      </c>
      <c r="BT276" t="str">
        <f>HYPERLINK("https%3A%2F%2Fwww.webofscience.com%2Fwos%2Fwoscc%2Ffull-record%2FWOS:000237899000001","View Full Record in Web of Science")</f>
        <v>View Full Record in Web of Science</v>
      </c>
    </row>
    <row r="277" spans="1:72" x14ac:dyDescent="0.15">
      <c r="A277" t="s">
        <v>72</v>
      </c>
      <c r="B277" t="s">
        <v>4498</v>
      </c>
      <c r="C277" t="s">
        <v>74</v>
      </c>
      <c r="D277" t="s">
        <v>74</v>
      </c>
      <c r="E277" t="s">
        <v>74</v>
      </c>
      <c r="F277" t="s">
        <v>4498</v>
      </c>
      <c r="G277" t="s">
        <v>74</v>
      </c>
      <c r="H277" t="s">
        <v>74</v>
      </c>
      <c r="I277" t="s">
        <v>4499</v>
      </c>
      <c r="J277" t="s">
        <v>4486</v>
      </c>
      <c r="K277" t="s">
        <v>74</v>
      </c>
      <c r="L277" t="s">
        <v>74</v>
      </c>
      <c r="M277" t="s">
        <v>78</v>
      </c>
      <c r="N277" t="s">
        <v>79</v>
      </c>
      <c r="O277" t="s">
        <v>74</v>
      </c>
      <c r="P277" t="s">
        <v>74</v>
      </c>
      <c r="Q277" t="s">
        <v>74</v>
      </c>
      <c r="R277" t="s">
        <v>74</v>
      </c>
      <c r="S277" t="s">
        <v>74</v>
      </c>
      <c r="T277" t="s">
        <v>4500</v>
      </c>
      <c r="U277" t="s">
        <v>4501</v>
      </c>
      <c r="V277" t="s">
        <v>4502</v>
      </c>
      <c r="W277" t="s">
        <v>4503</v>
      </c>
      <c r="X277" t="s">
        <v>4504</v>
      </c>
      <c r="Y277" t="s">
        <v>4505</v>
      </c>
      <c r="Z277" t="s">
        <v>4506</v>
      </c>
      <c r="AA277" t="s">
        <v>4507</v>
      </c>
      <c r="AB277" t="s">
        <v>74</v>
      </c>
      <c r="AC277" t="s">
        <v>74</v>
      </c>
      <c r="AD277" t="s">
        <v>74</v>
      </c>
      <c r="AE277" t="s">
        <v>74</v>
      </c>
      <c r="AF277" t="s">
        <v>74</v>
      </c>
      <c r="AG277">
        <v>39</v>
      </c>
      <c r="AH277">
        <v>19</v>
      </c>
      <c r="AI277">
        <v>19</v>
      </c>
      <c r="AJ277">
        <v>0</v>
      </c>
      <c r="AK277">
        <v>6</v>
      </c>
      <c r="AL277" t="s">
        <v>1139</v>
      </c>
      <c r="AM277" t="s">
        <v>476</v>
      </c>
      <c r="AN277" t="s">
        <v>4489</v>
      </c>
      <c r="AO277" t="s">
        <v>4490</v>
      </c>
      <c r="AP277" t="s">
        <v>74</v>
      </c>
      <c r="AQ277" t="s">
        <v>74</v>
      </c>
      <c r="AR277" t="s">
        <v>4491</v>
      </c>
      <c r="AS277" t="s">
        <v>4492</v>
      </c>
      <c r="AT277" t="s">
        <v>4479</v>
      </c>
      <c r="AU277">
        <v>2006</v>
      </c>
      <c r="AV277">
        <v>18</v>
      </c>
      <c r="AW277">
        <v>2</v>
      </c>
      <c r="AX277" t="s">
        <v>74</v>
      </c>
      <c r="AY277" t="s">
        <v>74</v>
      </c>
      <c r="AZ277" t="s">
        <v>74</v>
      </c>
      <c r="BA277" t="s">
        <v>74</v>
      </c>
      <c r="BB277">
        <v>163</v>
      </c>
      <c r="BC277">
        <v>170</v>
      </c>
      <c r="BD277" t="s">
        <v>74</v>
      </c>
      <c r="BE277" t="s">
        <v>4508</v>
      </c>
      <c r="BF277" t="str">
        <f>HYPERLINK("http://dx.doi.org/10.1017/S0954102006000186","http://dx.doi.org/10.1017/S0954102006000186")</f>
        <v>http://dx.doi.org/10.1017/S0954102006000186</v>
      </c>
      <c r="BG277" t="s">
        <v>74</v>
      </c>
      <c r="BH277" t="s">
        <v>74</v>
      </c>
      <c r="BI277">
        <v>8</v>
      </c>
      <c r="BJ277" t="s">
        <v>4494</v>
      </c>
      <c r="BK277" t="s">
        <v>97</v>
      </c>
      <c r="BL277" t="s">
        <v>4495</v>
      </c>
      <c r="BM277" t="s">
        <v>4496</v>
      </c>
      <c r="BN277" t="s">
        <v>74</v>
      </c>
      <c r="BO277" t="s">
        <v>74</v>
      </c>
      <c r="BP277" t="s">
        <v>74</v>
      </c>
      <c r="BQ277" t="s">
        <v>74</v>
      </c>
      <c r="BR277" t="s">
        <v>100</v>
      </c>
      <c r="BS277" t="s">
        <v>4509</v>
      </c>
      <c r="BT277" t="str">
        <f>HYPERLINK("https%3A%2F%2Fwww.webofscience.com%2Fwos%2Fwoscc%2Ffull-record%2FWOS:000237899000002","View Full Record in Web of Science")</f>
        <v>View Full Record in Web of Science</v>
      </c>
    </row>
    <row r="278" spans="1:72" x14ac:dyDescent="0.15">
      <c r="A278" t="s">
        <v>72</v>
      </c>
      <c r="B278" t="s">
        <v>4510</v>
      </c>
      <c r="C278" t="s">
        <v>74</v>
      </c>
      <c r="D278" t="s">
        <v>74</v>
      </c>
      <c r="E278" t="s">
        <v>74</v>
      </c>
      <c r="F278" t="s">
        <v>4511</v>
      </c>
      <c r="G278" t="s">
        <v>74</v>
      </c>
      <c r="H278" t="s">
        <v>74</v>
      </c>
      <c r="I278" t="s">
        <v>4512</v>
      </c>
      <c r="J278" t="s">
        <v>4486</v>
      </c>
      <c r="K278" t="s">
        <v>74</v>
      </c>
      <c r="L278" t="s">
        <v>74</v>
      </c>
      <c r="M278" t="s">
        <v>78</v>
      </c>
      <c r="N278" t="s">
        <v>79</v>
      </c>
      <c r="O278" t="s">
        <v>74</v>
      </c>
      <c r="P278" t="s">
        <v>74</v>
      </c>
      <c r="Q278" t="s">
        <v>74</v>
      </c>
      <c r="R278" t="s">
        <v>74</v>
      </c>
      <c r="S278" t="s">
        <v>74</v>
      </c>
      <c r="T278" t="s">
        <v>4513</v>
      </c>
      <c r="U278" t="s">
        <v>4514</v>
      </c>
      <c r="V278" t="s">
        <v>4515</v>
      </c>
      <c r="W278" t="s">
        <v>4516</v>
      </c>
      <c r="X278" t="s">
        <v>1018</v>
      </c>
      <c r="Y278" t="s">
        <v>4517</v>
      </c>
      <c r="Z278" t="s">
        <v>4518</v>
      </c>
      <c r="AA278" t="s">
        <v>74</v>
      </c>
      <c r="AB278" t="s">
        <v>74</v>
      </c>
      <c r="AC278" t="s">
        <v>74</v>
      </c>
      <c r="AD278" t="s">
        <v>74</v>
      </c>
      <c r="AE278" t="s">
        <v>74</v>
      </c>
      <c r="AF278" t="s">
        <v>74</v>
      </c>
      <c r="AG278">
        <v>29</v>
      </c>
      <c r="AH278">
        <v>23</v>
      </c>
      <c r="AI278">
        <v>27</v>
      </c>
      <c r="AJ278">
        <v>1</v>
      </c>
      <c r="AK278">
        <v>30</v>
      </c>
      <c r="AL278" t="s">
        <v>1139</v>
      </c>
      <c r="AM278" t="s">
        <v>476</v>
      </c>
      <c r="AN278" t="s">
        <v>1140</v>
      </c>
      <c r="AO278" t="s">
        <v>4490</v>
      </c>
      <c r="AP278" t="s">
        <v>4519</v>
      </c>
      <c r="AQ278" t="s">
        <v>74</v>
      </c>
      <c r="AR278" t="s">
        <v>4491</v>
      </c>
      <c r="AS278" t="s">
        <v>4492</v>
      </c>
      <c r="AT278" t="s">
        <v>4479</v>
      </c>
      <c r="AU278">
        <v>2006</v>
      </c>
      <c r="AV278">
        <v>18</v>
      </c>
      <c r="AW278">
        <v>2</v>
      </c>
      <c r="AX278" t="s">
        <v>74</v>
      </c>
      <c r="AY278" t="s">
        <v>74</v>
      </c>
      <c r="AZ278" t="s">
        <v>74</v>
      </c>
      <c r="BA278" t="s">
        <v>74</v>
      </c>
      <c r="BB278">
        <v>171</v>
      </c>
      <c r="BC278">
        <v>174</v>
      </c>
      <c r="BD278" t="s">
        <v>74</v>
      </c>
      <c r="BE278" t="s">
        <v>4520</v>
      </c>
      <c r="BF278" t="str">
        <f>HYPERLINK("http://dx.doi.org/10.1017/S0954102006000198","http://dx.doi.org/10.1017/S0954102006000198")</f>
        <v>http://dx.doi.org/10.1017/S0954102006000198</v>
      </c>
      <c r="BG278" t="s">
        <v>74</v>
      </c>
      <c r="BH278" t="s">
        <v>74</v>
      </c>
      <c r="BI278">
        <v>4</v>
      </c>
      <c r="BJ278" t="s">
        <v>4494</v>
      </c>
      <c r="BK278" t="s">
        <v>97</v>
      </c>
      <c r="BL278" t="s">
        <v>4495</v>
      </c>
      <c r="BM278" t="s">
        <v>4496</v>
      </c>
      <c r="BN278" t="s">
        <v>74</v>
      </c>
      <c r="BO278" t="s">
        <v>74</v>
      </c>
      <c r="BP278" t="s">
        <v>74</v>
      </c>
      <c r="BQ278" t="s">
        <v>74</v>
      </c>
      <c r="BR278" t="s">
        <v>100</v>
      </c>
      <c r="BS278" t="s">
        <v>4521</v>
      </c>
      <c r="BT278" t="str">
        <f>HYPERLINK("https%3A%2F%2Fwww.webofscience.com%2Fwos%2Fwoscc%2Ffull-record%2FWOS:000237899000003","View Full Record in Web of Science")</f>
        <v>View Full Record in Web of Science</v>
      </c>
    </row>
    <row r="279" spans="1:72" x14ac:dyDescent="0.15">
      <c r="A279" t="s">
        <v>72</v>
      </c>
      <c r="B279" t="s">
        <v>4522</v>
      </c>
      <c r="C279" t="s">
        <v>74</v>
      </c>
      <c r="D279" t="s">
        <v>74</v>
      </c>
      <c r="E279" t="s">
        <v>74</v>
      </c>
      <c r="F279" t="s">
        <v>4523</v>
      </c>
      <c r="G279" t="s">
        <v>74</v>
      </c>
      <c r="H279" t="s">
        <v>74</v>
      </c>
      <c r="I279" t="s">
        <v>4524</v>
      </c>
      <c r="J279" t="s">
        <v>4486</v>
      </c>
      <c r="K279" t="s">
        <v>74</v>
      </c>
      <c r="L279" t="s">
        <v>74</v>
      </c>
      <c r="M279" t="s">
        <v>78</v>
      </c>
      <c r="N279" t="s">
        <v>79</v>
      </c>
      <c r="O279" t="s">
        <v>74</v>
      </c>
      <c r="P279" t="s">
        <v>74</v>
      </c>
      <c r="Q279" t="s">
        <v>74</v>
      </c>
      <c r="R279" t="s">
        <v>74</v>
      </c>
      <c r="S279" t="s">
        <v>74</v>
      </c>
      <c r="T279" t="s">
        <v>4525</v>
      </c>
      <c r="U279" t="s">
        <v>4526</v>
      </c>
      <c r="V279" t="s">
        <v>4527</v>
      </c>
      <c r="W279" t="s">
        <v>4528</v>
      </c>
      <c r="X279" t="s">
        <v>4529</v>
      </c>
      <c r="Y279" t="s">
        <v>4530</v>
      </c>
      <c r="Z279" t="s">
        <v>4531</v>
      </c>
      <c r="AA279" t="s">
        <v>74</v>
      </c>
      <c r="AB279" t="s">
        <v>74</v>
      </c>
      <c r="AC279" t="s">
        <v>74</v>
      </c>
      <c r="AD279" t="s">
        <v>74</v>
      </c>
      <c r="AE279" t="s">
        <v>74</v>
      </c>
      <c r="AF279" t="s">
        <v>74</v>
      </c>
      <c r="AG279">
        <v>30</v>
      </c>
      <c r="AH279">
        <v>8</v>
      </c>
      <c r="AI279">
        <v>10</v>
      </c>
      <c r="AJ279">
        <v>0</v>
      </c>
      <c r="AK279">
        <v>6</v>
      </c>
      <c r="AL279" t="s">
        <v>1139</v>
      </c>
      <c r="AM279" t="s">
        <v>476</v>
      </c>
      <c r="AN279" t="s">
        <v>1140</v>
      </c>
      <c r="AO279" t="s">
        <v>4490</v>
      </c>
      <c r="AP279" t="s">
        <v>4519</v>
      </c>
      <c r="AQ279" t="s">
        <v>74</v>
      </c>
      <c r="AR279" t="s">
        <v>4491</v>
      </c>
      <c r="AS279" t="s">
        <v>4492</v>
      </c>
      <c r="AT279" t="s">
        <v>4479</v>
      </c>
      <c r="AU279">
        <v>2006</v>
      </c>
      <c r="AV279">
        <v>18</v>
      </c>
      <c r="AW279">
        <v>2</v>
      </c>
      <c r="AX279" t="s">
        <v>74</v>
      </c>
      <c r="AY279" t="s">
        <v>74</v>
      </c>
      <c r="AZ279" t="s">
        <v>74</v>
      </c>
      <c r="BA279" t="s">
        <v>74</v>
      </c>
      <c r="BB279">
        <v>175</v>
      </c>
      <c r="BC279">
        <v>181</v>
      </c>
      <c r="BD279" t="s">
        <v>74</v>
      </c>
      <c r="BE279" t="s">
        <v>4532</v>
      </c>
      <c r="BF279" t="str">
        <f>HYPERLINK("http://dx.doi.org/10.1017/S0954102006000204","http://dx.doi.org/10.1017/S0954102006000204")</f>
        <v>http://dx.doi.org/10.1017/S0954102006000204</v>
      </c>
      <c r="BG279" t="s">
        <v>74</v>
      </c>
      <c r="BH279" t="s">
        <v>74</v>
      </c>
      <c r="BI279">
        <v>7</v>
      </c>
      <c r="BJ279" t="s">
        <v>4494</v>
      </c>
      <c r="BK279" t="s">
        <v>97</v>
      </c>
      <c r="BL279" t="s">
        <v>4495</v>
      </c>
      <c r="BM279" t="s">
        <v>4496</v>
      </c>
      <c r="BN279" t="s">
        <v>74</v>
      </c>
      <c r="BO279" t="s">
        <v>147</v>
      </c>
      <c r="BP279" t="s">
        <v>74</v>
      </c>
      <c r="BQ279" t="s">
        <v>74</v>
      </c>
      <c r="BR279" t="s">
        <v>100</v>
      </c>
      <c r="BS279" t="s">
        <v>4533</v>
      </c>
      <c r="BT279" t="str">
        <f>HYPERLINK("https%3A%2F%2Fwww.webofscience.com%2Fwos%2Fwoscc%2Ffull-record%2FWOS:000237899000004","View Full Record in Web of Science")</f>
        <v>View Full Record in Web of Science</v>
      </c>
    </row>
    <row r="280" spans="1:72" x14ac:dyDescent="0.15">
      <c r="A280" t="s">
        <v>72</v>
      </c>
      <c r="B280" t="s">
        <v>4534</v>
      </c>
      <c r="C280" t="s">
        <v>74</v>
      </c>
      <c r="D280" t="s">
        <v>74</v>
      </c>
      <c r="E280" t="s">
        <v>74</v>
      </c>
      <c r="F280" t="s">
        <v>4534</v>
      </c>
      <c r="G280" t="s">
        <v>74</v>
      </c>
      <c r="H280" t="s">
        <v>74</v>
      </c>
      <c r="I280" t="s">
        <v>4535</v>
      </c>
      <c r="J280" t="s">
        <v>4486</v>
      </c>
      <c r="K280" t="s">
        <v>74</v>
      </c>
      <c r="L280" t="s">
        <v>74</v>
      </c>
      <c r="M280" t="s">
        <v>78</v>
      </c>
      <c r="N280" t="s">
        <v>79</v>
      </c>
      <c r="O280" t="s">
        <v>74</v>
      </c>
      <c r="P280" t="s">
        <v>74</v>
      </c>
      <c r="Q280" t="s">
        <v>74</v>
      </c>
      <c r="R280" t="s">
        <v>74</v>
      </c>
      <c r="S280" t="s">
        <v>74</v>
      </c>
      <c r="T280" t="s">
        <v>4536</v>
      </c>
      <c r="U280" t="s">
        <v>4537</v>
      </c>
      <c r="V280" t="s">
        <v>4538</v>
      </c>
      <c r="W280" t="s">
        <v>4539</v>
      </c>
      <c r="X280" t="s">
        <v>4540</v>
      </c>
      <c r="Y280" t="s">
        <v>4541</v>
      </c>
      <c r="Z280" t="s">
        <v>4542</v>
      </c>
      <c r="AA280" t="s">
        <v>4543</v>
      </c>
      <c r="AB280" t="s">
        <v>4544</v>
      </c>
      <c r="AC280" t="s">
        <v>74</v>
      </c>
      <c r="AD280" t="s">
        <v>74</v>
      </c>
      <c r="AE280" t="s">
        <v>74</v>
      </c>
      <c r="AF280" t="s">
        <v>74</v>
      </c>
      <c r="AG280">
        <v>51</v>
      </c>
      <c r="AH280">
        <v>3</v>
      </c>
      <c r="AI280">
        <v>3</v>
      </c>
      <c r="AJ280">
        <v>0</v>
      </c>
      <c r="AK280">
        <v>1</v>
      </c>
      <c r="AL280" t="s">
        <v>1139</v>
      </c>
      <c r="AM280" t="s">
        <v>476</v>
      </c>
      <c r="AN280" t="s">
        <v>4489</v>
      </c>
      <c r="AO280" t="s">
        <v>4490</v>
      </c>
      <c r="AP280" t="s">
        <v>74</v>
      </c>
      <c r="AQ280" t="s">
        <v>74</v>
      </c>
      <c r="AR280" t="s">
        <v>4491</v>
      </c>
      <c r="AS280" t="s">
        <v>4492</v>
      </c>
      <c r="AT280" t="s">
        <v>4479</v>
      </c>
      <c r="AU280">
        <v>2006</v>
      </c>
      <c r="AV280">
        <v>18</v>
      </c>
      <c r="AW280">
        <v>2</v>
      </c>
      <c r="AX280" t="s">
        <v>74</v>
      </c>
      <c r="AY280" t="s">
        <v>74</v>
      </c>
      <c r="AZ280" t="s">
        <v>74</v>
      </c>
      <c r="BA280" t="s">
        <v>74</v>
      </c>
      <c r="BB280">
        <v>183</v>
      </c>
      <c r="BC280">
        <v>190</v>
      </c>
      <c r="BD280" t="s">
        <v>74</v>
      </c>
      <c r="BE280" t="s">
        <v>4545</v>
      </c>
      <c r="BF280" t="str">
        <f>HYPERLINK("http://dx.doi.org/10.1017/S0954102006000216","http://dx.doi.org/10.1017/S0954102006000216")</f>
        <v>http://dx.doi.org/10.1017/S0954102006000216</v>
      </c>
      <c r="BG280" t="s">
        <v>74</v>
      </c>
      <c r="BH280" t="s">
        <v>74</v>
      </c>
      <c r="BI280">
        <v>8</v>
      </c>
      <c r="BJ280" t="s">
        <v>4494</v>
      </c>
      <c r="BK280" t="s">
        <v>97</v>
      </c>
      <c r="BL280" t="s">
        <v>4495</v>
      </c>
      <c r="BM280" t="s">
        <v>4496</v>
      </c>
      <c r="BN280" t="s">
        <v>74</v>
      </c>
      <c r="BO280" t="s">
        <v>74</v>
      </c>
      <c r="BP280" t="s">
        <v>74</v>
      </c>
      <c r="BQ280" t="s">
        <v>74</v>
      </c>
      <c r="BR280" t="s">
        <v>100</v>
      </c>
      <c r="BS280" t="s">
        <v>4546</v>
      </c>
      <c r="BT280" t="str">
        <f>HYPERLINK("https%3A%2F%2Fwww.webofscience.com%2Fwos%2Fwoscc%2Ffull-record%2FWOS:000237899000005","View Full Record in Web of Science")</f>
        <v>View Full Record in Web of Science</v>
      </c>
    </row>
    <row r="281" spans="1:72" x14ac:dyDescent="0.15">
      <c r="A281" t="s">
        <v>72</v>
      </c>
      <c r="B281" t="s">
        <v>4547</v>
      </c>
      <c r="C281" t="s">
        <v>74</v>
      </c>
      <c r="D281" t="s">
        <v>74</v>
      </c>
      <c r="E281" t="s">
        <v>74</v>
      </c>
      <c r="F281" t="s">
        <v>4547</v>
      </c>
      <c r="G281" t="s">
        <v>74</v>
      </c>
      <c r="H281" t="s">
        <v>74</v>
      </c>
      <c r="I281" t="s">
        <v>4548</v>
      </c>
      <c r="J281" t="s">
        <v>4486</v>
      </c>
      <c r="K281" t="s">
        <v>74</v>
      </c>
      <c r="L281" t="s">
        <v>74</v>
      </c>
      <c r="M281" t="s">
        <v>78</v>
      </c>
      <c r="N281" t="s">
        <v>79</v>
      </c>
      <c r="O281" t="s">
        <v>74</v>
      </c>
      <c r="P281" t="s">
        <v>74</v>
      </c>
      <c r="Q281" t="s">
        <v>74</v>
      </c>
      <c r="R281" t="s">
        <v>74</v>
      </c>
      <c r="S281" t="s">
        <v>74</v>
      </c>
      <c r="T281" t="s">
        <v>4549</v>
      </c>
      <c r="U281" t="s">
        <v>4550</v>
      </c>
      <c r="V281" t="s">
        <v>4551</v>
      </c>
      <c r="W281" t="s">
        <v>4552</v>
      </c>
      <c r="X281" t="s">
        <v>4553</v>
      </c>
      <c r="Y281" t="s">
        <v>4554</v>
      </c>
      <c r="Z281" t="s">
        <v>4555</v>
      </c>
      <c r="AA281" t="s">
        <v>4556</v>
      </c>
      <c r="AB281" t="s">
        <v>4557</v>
      </c>
      <c r="AC281" t="s">
        <v>74</v>
      </c>
      <c r="AD281" t="s">
        <v>74</v>
      </c>
      <c r="AE281" t="s">
        <v>74</v>
      </c>
      <c r="AF281" t="s">
        <v>74</v>
      </c>
      <c r="AG281">
        <v>56</v>
      </c>
      <c r="AH281">
        <v>96</v>
      </c>
      <c r="AI281">
        <v>103</v>
      </c>
      <c r="AJ281">
        <v>0</v>
      </c>
      <c r="AK281">
        <v>15</v>
      </c>
      <c r="AL281" t="s">
        <v>1139</v>
      </c>
      <c r="AM281" t="s">
        <v>476</v>
      </c>
      <c r="AN281" t="s">
        <v>4489</v>
      </c>
      <c r="AO281" t="s">
        <v>4490</v>
      </c>
      <c r="AP281" t="s">
        <v>74</v>
      </c>
      <c r="AQ281" t="s">
        <v>74</v>
      </c>
      <c r="AR281" t="s">
        <v>4491</v>
      </c>
      <c r="AS281" t="s">
        <v>4492</v>
      </c>
      <c r="AT281" t="s">
        <v>4479</v>
      </c>
      <c r="AU281">
        <v>2006</v>
      </c>
      <c r="AV281">
        <v>18</v>
      </c>
      <c r="AW281">
        <v>2</v>
      </c>
      <c r="AX281" t="s">
        <v>74</v>
      </c>
      <c r="AY281" t="s">
        <v>74</v>
      </c>
      <c r="AZ281" t="s">
        <v>74</v>
      </c>
      <c r="BA281" t="s">
        <v>74</v>
      </c>
      <c r="BB281">
        <v>191</v>
      </c>
      <c r="BC281">
        <v>198</v>
      </c>
      <c r="BD281" t="s">
        <v>74</v>
      </c>
      <c r="BE281" t="s">
        <v>4558</v>
      </c>
      <c r="BF281" t="str">
        <f>HYPERLINK("http://dx.doi.org/10.1017/S0954102006000228","http://dx.doi.org/10.1017/S0954102006000228")</f>
        <v>http://dx.doi.org/10.1017/S0954102006000228</v>
      </c>
      <c r="BG281" t="s">
        <v>74</v>
      </c>
      <c r="BH281" t="s">
        <v>74</v>
      </c>
      <c r="BI281">
        <v>8</v>
      </c>
      <c r="BJ281" t="s">
        <v>4494</v>
      </c>
      <c r="BK281" t="s">
        <v>97</v>
      </c>
      <c r="BL281" t="s">
        <v>4495</v>
      </c>
      <c r="BM281" t="s">
        <v>4496</v>
      </c>
      <c r="BN281" t="s">
        <v>74</v>
      </c>
      <c r="BO281" t="s">
        <v>74</v>
      </c>
      <c r="BP281" t="s">
        <v>74</v>
      </c>
      <c r="BQ281" t="s">
        <v>74</v>
      </c>
      <c r="BR281" t="s">
        <v>100</v>
      </c>
      <c r="BS281" t="s">
        <v>4559</v>
      </c>
      <c r="BT281" t="str">
        <f>HYPERLINK("https%3A%2F%2Fwww.webofscience.com%2Fwos%2Fwoscc%2Ffull-record%2FWOS:000237899000006","View Full Record in Web of Science")</f>
        <v>View Full Record in Web of Science</v>
      </c>
    </row>
    <row r="282" spans="1:72" x14ac:dyDescent="0.15">
      <c r="A282" t="s">
        <v>72</v>
      </c>
      <c r="B282" t="s">
        <v>4560</v>
      </c>
      <c r="C282" t="s">
        <v>74</v>
      </c>
      <c r="D282" t="s">
        <v>74</v>
      </c>
      <c r="E282" t="s">
        <v>74</v>
      </c>
      <c r="F282" t="s">
        <v>4560</v>
      </c>
      <c r="G282" t="s">
        <v>74</v>
      </c>
      <c r="H282" t="s">
        <v>74</v>
      </c>
      <c r="I282" t="s">
        <v>4561</v>
      </c>
      <c r="J282" t="s">
        <v>4486</v>
      </c>
      <c r="K282" t="s">
        <v>74</v>
      </c>
      <c r="L282" t="s">
        <v>74</v>
      </c>
      <c r="M282" t="s">
        <v>78</v>
      </c>
      <c r="N282" t="s">
        <v>79</v>
      </c>
      <c r="O282" t="s">
        <v>74</v>
      </c>
      <c r="P282" t="s">
        <v>74</v>
      </c>
      <c r="Q282" t="s">
        <v>74</v>
      </c>
      <c r="R282" t="s">
        <v>74</v>
      </c>
      <c r="S282" t="s">
        <v>74</v>
      </c>
      <c r="T282" t="s">
        <v>4562</v>
      </c>
      <c r="U282" t="s">
        <v>4563</v>
      </c>
      <c r="V282" t="s">
        <v>4564</v>
      </c>
      <c r="W282" t="s">
        <v>4565</v>
      </c>
      <c r="X282" t="s">
        <v>1018</v>
      </c>
      <c r="Y282" t="s">
        <v>4566</v>
      </c>
      <c r="Z282" t="s">
        <v>4567</v>
      </c>
      <c r="AA282" t="s">
        <v>4568</v>
      </c>
      <c r="AB282" t="s">
        <v>4569</v>
      </c>
      <c r="AC282" t="s">
        <v>74</v>
      </c>
      <c r="AD282" t="s">
        <v>74</v>
      </c>
      <c r="AE282" t="s">
        <v>74</v>
      </c>
      <c r="AF282" t="s">
        <v>74</v>
      </c>
      <c r="AG282">
        <v>31</v>
      </c>
      <c r="AH282">
        <v>9</v>
      </c>
      <c r="AI282">
        <v>12</v>
      </c>
      <c r="AJ282">
        <v>0</v>
      </c>
      <c r="AK282">
        <v>7</v>
      </c>
      <c r="AL282" t="s">
        <v>1139</v>
      </c>
      <c r="AM282" t="s">
        <v>476</v>
      </c>
      <c r="AN282" t="s">
        <v>4489</v>
      </c>
      <c r="AO282" t="s">
        <v>4490</v>
      </c>
      <c r="AP282" t="s">
        <v>74</v>
      </c>
      <c r="AQ282" t="s">
        <v>74</v>
      </c>
      <c r="AR282" t="s">
        <v>4491</v>
      </c>
      <c r="AS282" t="s">
        <v>4492</v>
      </c>
      <c r="AT282" t="s">
        <v>4479</v>
      </c>
      <c r="AU282">
        <v>2006</v>
      </c>
      <c r="AV282">
        <v>18</v>
      </c>
      <c r="AW282">
        <v>2</v>
      </c>
      <c r="AX282" t="s">
        <v>74</v>
      </c>
      <c r="AY282" t="s">
        <v>74</v>
      </c>
      <c r="AZ282" t="s">
        <v>74</v>
      </c>
      <c r="BA282" t="s">
        <v>74</v>
      </c>
      <c r="BB282">
        <v>199</v>
      </c>
      <c r="BC282">
        <v>204</v>
      </c>
      <c r="BD282" t="s">
        <v>74</v>
      </c>
      <c r="BE282" t="s">
        <v>4570</v>
      </c>
      <c r="BF282" t="str">
        <f>HYPERLINK("http://dx.doi.org/10.1017/S095410200600023X","http://dx.doi.org/10.1017/S095410200600023X")</f>
        <v>http://dx.doi.org/10.1017/S095410200600023X</v>
      </c>
      <c r="BG282" t="s">
        <v>74</v>
      </c>
      <c r="BH282" t="s">
        <v>74</v>
      </c>
      <c r="BI282">
        <v>6</v>
      </c>
      <c r="BJ282" t="s">
        <v>4494</v>
      </c>
      <c r="BK282" t="s">
        <v>97</v>
      </c>
      <c r="BL282" t="s">
        <v>4495</v>
      </c>
      <c r="BM282" t="s">
        <v>4496</v>
      </c>
      <c r="BN282" t="s">
        <v>74</v>
      </c>
      <c r="BO282" t="s">
        <v>147</v>
      </c>
      <c r="BP282" t="s">
        <v>74</v>
      </c>
      <c r="BQ282" t="s">
        <v>74</v>
      </c>
      <c r="BR282" t="s">
        <v>100</v>
      </c>
      <c r="BS282" t="s">
        <v>4571</v>
      </c>
      <c r="BT282" t="str">
        <f>HYPERLINK("https%3A%2F%2Fwww.webofscience.com%2Fwos%2Fwoscc%2Ffull-record%2FWOS:000237899000007","View Full Record in Web of Science")</f>
        <v>View Full Record in Web of Science</v>
      </c>
    </row>
    <row r="283" spans="1:72" x14ac:dyDescent="0.15">
      <c r="A283" t="s">
        <v>72</v>
      </c>
      <c r="B283" t="s">
        <v>4572</v>
      </c>
      <c r="C283" t="s">
        <v>74</v>
      </c>
      <c r="D283" t="s">
        <v>74</v>
      </c>
      <c r="E283" t="s">
        <v>74</v>
      </c>
      <c r="F283" t="s">
        <v>4573</v>
      </c>
      <c r="G283" t="s">
        <v>74</v>
      </c>
      <c r="H283" t="s">
        <v>74</v>
      </c>
      <c r="I283" t="s">
        <v>4574</v>
      </c>
      <c r="J283" t="s">
        <v>4486</v>
      </c>
      <c r="K283" t="s">
        <v>74</v>
      </c>
      <c r="L283" t="s">
        <v>74</v>
      </c>
      <c r="M283" t="s">
        <v>78</v>
      </c>
      <c r="N283" t="s">
        <v>79</v>
      </c>
      <c r="O283" t="s">
        <v>74</v>
      </c>
      <c r="P283" t="s">
        <v>74</v>
      </c>
      <c r="Q283" t="s">
        <v>74</v>
      </c>
      <c r="R283" t="s">
        <v>74</v>
      </c>
      <c r="S283" t="s">
        <v>74</v>
      </c>
      <c r="T283" t="s">
        <v>4575</v>
      </c>
      <c r="U283" t="s">
        <v>4576</v>
      </c>
      <c r="V283" t="s">
        <v>4577</v>
      </c>
      <c r="W283" t="s">
        <v>4578</v>
      </c>
      <c r="X283" t="s">
        <v>4579</v>
      </c>
      <c r="Y283" t="s">
        <v>4580</v>
      </c>
      <c r="Z283" t="s">
        <v>4581</v>
      </c>
      <c r="AA283" t="s">
        <v>74</v>
      </c>
      <c r="AB283" t="s">
        <v>4582</v>
      </c>
      <c r="AC283" t="s">
        <v>74</v>
      </c>
      <c r="AD283" t="s">
        <v>74</v>
      </c>
      <c r="AE283" t="s">
        <v>74</v>
      </c>
      <c r="AF283" t="s">
        <v>74</v>
      </c>
      <c r="AG283">
        <v>30</v>
      </c>
      <c r="AH283">
        <v>5</v>
      </c>
      <c r="AI283">
        <v>7</v>
      </c>
      <c r="AJ283">
        <v>1</v>
      </c>
      <c r="AK283">
        <v>6</v>
      </c>
      <c r="AL283" t="s">
        <v>1139</v>
      </c>
      <c r="AM283" t="s">
        <v>476</v>
      </c>
      <c r="AN283" t="s">
        <v>1140</v>
      </c>
      <c r="AO283" t="s">
        <v>4490</v>
      </c>
      <c r="AP283" t="s">
        <v>4519</v>
      </c>
      <c r="AQ283" t="s">
        <v>74</v>
      </c>
      <c r="AR283" t="s">
        <v>4491</v>
      </c>
      <c r="AS283" t="s">
        <v>4492</v>
      </c>
      <c r="AT283" t="s">
        <v>4479</v>
      </c>
      <c r="AU283">
        <v>2006</v>
      </c>
      <c r="AV283">
        <v>18</v>
      </c>
      <c r="AW283">
        <v>2</v>
      </c>
      <c r="AX283" t="s">
        <v>74</v>
      </c>
      <c r="AY283" t="s">
        <v>74</v>
      </c>
      <c r="AZ283" t="s">
        <v>74</v>
      </c>
      <c r="BA283" t="s">
        <v>74</v>
      </c>
      <c r="BB283">
        <v>205</v>
      </c>
      <c r="BC283">
        <v>212</v>
      </c>
      <c r="BD283" t="s">
        <v>74</v>
      </c>
      <c r="BE283" t="s">
        <v>4583</v>
      </c>
      <c r="BF283" t="str">
        <f>HYPERLINK("http://dx.doi.org/10.1017/S0954102006000241","http://dx.doi.org/10.1017/S0954102006000241")</f>
        <v>http://dx.doi.org/10.1017/S0954102006000241</v>
      </c>
      <c r="BG283" t="s">
        <v>74</v>
      </c>
      <c r="BH283" t="s">
        <v>74</v>
      </c>
      <c r="BI283">
        <v>8</v>
      </c>
      <c r="BJ283" t="s">
        <v>4494</v>
      </c>
      <c r="BK283" t="s">
        <v>97</v>
      </c>
      <c r="BL283" t="s">
        <v>4495</v>
      </c>
      <c r="BM283" t="s">
        <v>4496</v>
      </c>
      <c r="BN283" t="s">
        <v>74</v>
      </c>
      <c r="BO283" t="s">
        <v>74</v>
      </c>
      <c r="BP283" t="s">
        <v>74</v>
      </c>
      <c r="BQ283" t="s">
        <v>74</v>
      </c>
      <c r="BR283" t="s">
        <v>100</v>
      </c>
      <c r="BS283" t="s">
        <v>4584</v>
      </c>
      <c r="BT283" t="str">
        <f>HYPERLINK("https%3A%2F%2Fwww.webofscience.com%2Fwos%2Fwoscc%2Ffull-record%2FWOS:000237899000008","View Full Record in Web of Science")</f>
        <v>View Full Record in Web of Science</v>
      </c>
    </row>
    <row r="284" spans="1:72" x14ac:dyDescent="0.15">
      <c r="A284" t="s">
        <v>72</v>
      </c>
      <c r="B284" t="s">
        <v>4585</v>
      </c>
      <c r="C284" t="s">
        <v>74</v>
      </c>
      <c r="D284" t="s">
        <v>74</v>
      </c>
      <c r="E284" t="s">
        <v>74</v>
      </c>
      <c r="F284" t="s">
        <v>4586</v>
      </c>
      <c r="G284" t="s">
        <v>74</v>
      </c>
      <c r="H284" t="s">
        <v>74</v>
      </c>
      <c r="I284" t="s">
        <v>4587</v>
      </c>
      <c r="J284" t="s">
        <v>4486</v>
      </c>
      <c r="K284" t="s">
        <v>74</v>
      </c>
      <c r="L284" t="s">
        <v>74</v>
      </c>
      <c r="M284" t="s">
        <v>78</v>
      </c>
      <c r="N284" t="s">
        <v>79</v>
      </c>
      <c r="O284" t="s">
        <v>74</v>
      </c>
      <c r="P284" t="s">
        <v>74</v>
      </c>
      <c r="Q284" t="s">
        <v>74</v>
      </c>
      <c r="R284" t="s">
        <v>74</v>
      </c>
      <c r="S284" t="s">
        <v>74</v>
      </c>
      <c r="T284" t="s">
        <v>4588</v>
      </c>
      <c r="U284" t="s">
        <v>4589</v>
      </c>
      <c r="V284" t="s">
        <v>4590</v>
      </c>
      <c r="W284" t="s">
        <v>4591</v>
      </c>
      <c r="X284" t="s">
        <v>4592</v>
      </c>
      <c r="Y284" t="s">
        <v>4593</v>
      </c>
      <c r="Z284" t="s">
        <v>4594</v>
      </c>
      <c r="AA284" t="s">
        <v>74</v>
      </c>
      <c r="AB284" t="s">
        <v>4595</v>
      </c>
      <c r="AC284" t="s">
        <v>74</v>
      </c>
      <c r="AD284" t="s">
        <v>74</v>
      </c>
      <c r="AE284" t="s">
        <v>74</v>
      </c>
      <c r="AF284" t="s">
        <v>74</v>
      </c>
      <c r="AG284">
        <v>59</v>
      </c>
      <c r="AH284">
        <v>24</v>
      </c>
      <c r="AI284">
        <v>25</v>
      </c>
      <c r="AJ284">
        <v>0</v>
      </c>
      <c r="AK284">
        <v>13</v>
      </c>
      <c r="AL284" t="s">
        <v>1139</v>
      </c>
      <c r="AM284" t="s">
        <v>476</v>
      </c>
      <c r="AN284" t="s">
        <v>1140</v>
      </c>
      <c r="AO284" t="s">
        <v>4490</v>
      </c>
      <c r="AP284" t="s">
        <v>4519</v>
      </c>
      <c r="AQ284" t="s">
        <v>74</v>
      </c>
      <c r="AR284" t="s">
        <v>4491</v>
      </c>
      <c r="AS284" t="s">
        <v>4492</v>
      </c>
      <c r="AT284" t="s">
        <v>4479</v>
      </c>
      <c r="AU284">
        <v>2006</v>
      </c>
      <c r="AV284">
        <v>18</v>
      </c>
      <c r="AW284">
        <v>2</v>
      </c>
      <c r="AX284" t="s">
        <v>74</v>
      </c>
      <c r="AY284" t="s">
        <v>74</v>
      </c>
      <c r="AZ284" t="s">
        <v>74</v>
      </c>
      <c r="BA284" t="s">
        <v>74</v>
      </c>
      <c r="BB284">
        <v>213</v>
      </c>
      <c r="BC284">
        <v>221</v>
      </c>
      <c r="BD284" t="s">
        <v>74</v>
      </c>
      <c r="BE284" t="s">
        <v>4596</v>
      </c>
      <c r="BF284" t="str">
        <f>HYPERLINK("http://dx.doi.org/10.1017/S0954102006000253","http://dx.doi.org/10.1017/S0954102006000253")</f>
        <v>http://dx.doi.org/10.1017/S0954102006000253</v>
      </c>
      <c r="BG284" t="s">
        <v>74</v>
      </c>
      <c r="BH284" t="s">
        <v>74</v>
      </c>
      <c r="BI284">
        <v>9</v>
      </c>
      <c r="BJ284" t="s">
        <v>4494</v>
      </c>
      <c r="BK284" t="s">
        <v>97</v>
      </c>
      <c r="BL284" t="s">
        <v>4495</v>
      </c>
      <c r="BM284" t="s">
        <v>4496</v>
      </c>
      <c r="BN284" t="s">
        <v>74</v>
      </c>
      <c r="BO284" t="s">
        <v>99</v>
      </c>
      <c r="BP284" t="s">
        <v>74</v>
      </c>
      <c r="BQ284" t="s">
        <v>74</v>
      </c>
      <c r="BR284" t="s">
        <v>100</v>
      </c>
      <c r="BS284" t="s">
        <v>4597</v>
      </c>
      <c r="BT284" t="str">
        <f>HYPERLINK("https%3A%2F%2Fwww.webofscience.com%2Fwos%2Fwoscc%2Ffull-record%2FWOS:000237899000009","View Full Record in Web of Science")</f>
        <v>View Full Record in Web of Science</v>
      </c>
    </row>
    <row r="285" spans="1:72" x14ac:dyDescent="0.15">
      <c r="A285" t="s">
        <v>72</v>
      </c>
      <c r="B285" t="s">
        <v>4598</v>
      </c>
      <c r="C285" t="s">
        <v>74</v>
      </c>
      <c r="D285" t="s">
        <v>74</v>
      </c>
      <c r="E285" t="s">
        <v>74</v>
      </c>
      <c r="F285" t="s">
        <v>4599</v>
      </c>
      <c r="G285" t="s">
        <v>74</v>
      </c>
      <c r="H285" t="s">
        <v>74</v>
      </c>
      <c r="I285" t="s">
        <v>4600</v>
      </c>
      <c r="J285" t="s">
        <v>4486</v>
      </c>
      <c r="K285" t="s">
        <v>74</v>
      </c>
      <c r="L285" t="s">
        <v>74</v>
      </c>
      <c r="M285" t="s">
        <v>78</v>
      </c>
      <c r="N285" t="s">
        <v>79</v>
      </c>
      <c r="O285" t="s">
        <v>74</v>
      </c>
      <c r="P285" t="s">
        <v>74</v>
      </c>
      <c r="Q285" t="s">
        <v>74</v>
      </c>
      <c r="R285" t="s">
        <v>74</v>
      </c>
      <c r="S285" t="s">
        <v>74</v>
      </c>
      <c r="T285" t="s">
        <v>4601</v>
      </c>
      <c r="U285" t="s">
        <v>4602</v>
      </c>
      <c r="V285" t="s">
        <v>4603</v>
      </c>
      <c r="W285" t="s">
        <v>4604</v>
      </c>
      <c r="X285" t="s">
        <v>4605</v>
      </c>
      <c r="Y285" t="s">
        <v>4606</v>
      </c>
      <c r="Z285" t="s">
        <v>4607</v>
      </c>
      <c r="AA285" t="s">
        <v>74</v>
      </c>
      <c r="AB285" t="s">
        <v>74</v>
      </c>
      <c r="AC285" t="s">
        <v>74</v>
      </c>
      <c r="AD285" t="s">
        <v>74</v>
      </c>
      <c r="AE285" t="s">
        <v>74</v>
      </c>
      <c r="AF285" t="s">
        <v>74</v>
      </c>
      <c r="AG285">
        <v>47</v>
      </c>
      <c r="AH285">
        <v>21</v>
      </c>
      <c r="AI285">
        <v>21</v>
      </c>
      <c r="AJ285">
        <v>0</v>
      </c>
      <c r="AK285">
        <v>18</v>
      </c>
      <c r="AL285" t="s">
        <v>1139</v>
      </c>
      <c r="AM285" t="s">
        <v>476</v>
      </c>
      <c r="AN285" t="s">
        <v>1140</v>
      </c>
      <c r="AO285" t="s">
        <v>4490</v>
      </c>
      <c r="AP285" t="s">
        <v>4519</v>
      </c>
      <c r="AQ285" t="s">
        <v>74</v>
      </c>
      <c r="AR285" t="s">
        <v>4491</v>
      </c>
      <c r="AS285" t="s">
        <v>4492</v>
      </c>
      <c r="AT285" t="s">
        <v>4479</v>
      </c>
      <c r="AU285">
        <v>2006</v>
      </c>
      <c r="AV285">
        <v>18</v>
      </c>
      <c r="AW285">
        <v>2</v>
      </c>
      <c r="AX285" t="s">
        <v>74</v>
      </c>
      <c r="AY285" t="s">
        <v>74</v>
      </c>
      <c r="AZ285" t="s">
        <v>74</v>
      </c>
      <c r="BA285" t="s">
        <v>74</v>
      </c>
      <c r="BB285">
        <v>223</v>
      </c>
      <c r="BC285">
        <v>227</v>
      </c>
      <c r="BD285" t="s">
        <v>74</v>
      </c>
      <c r="BE285" t="s">
        <v>4608</v>
      </c>
      <c r="BF285" t="str">
        <f>HYPERLINK("http://dx.doi.org/10.1017/S0954102006000265","http://dx.doi.org/10.1017/S0954102006000265")</f>
        <v>http://dx.doi.org/10.1017/S0954102006000265</v>
      </c>
      <c r="BG285" t="s">
        <v>74</v>
      </c>
      <c r="BH285" t="s">
        <v>74</v>
      </c>
      <c r="BI285">
        <v>5</v>
      </c>
      <c r="BJ285" t="s">
        <v>4494</v>
      </c>
      <c r="BK285" t="s">
        <v>97</v>
      </c>
      <c r="BL285" t="s">
        <v>4495</v>
      </c>
      <c r="BM285" t="s">
        <v>4496</v>
      </c>
      <c r="BN285" t="s">
        <v>74</v>
      </c>
      <c r="BO285" t="s">
        <v>74</v>
      </c>
      <c r="BP285" t="s">
        <v>74</v>
      </c>
      <c r="BQ285" t="s">
        <v>74</v>
      </c>
      <c r="BR285" t="s">
        <v>100</v>
      </c>
      <c r="BS285" t="s">
        <v>4609</v>
      </c>
      <c r="BT285" t="str">
        <f>HYPERLINK("https%3A%2F%2Fwww.webofscience.com%2Fwos%2Fwoscc%2Ffull-record%2FWOS:000237899000010","View Full Record in Web of Science")</f>
        <v>View Full Record in Web of Science</v>
      </c>
    </row>
    <row r="286" spans="1:72" x14ac:dyDescent="0.15">
      <c r="A286" t="s">
        <v>72</v>
      </c>
      <c r="B286" t="s">
        <v>4610</v>
      </c>
      <c r="C286" t="s">
        <v>74</v>
      </c>
      <c r="D286" t="s">
        <v>74</v>
      </c>
      <c r="E286" t="s">
        <v>74</v>
      </c>
      <c r="F286" t="s">
        <v>4611</v>
      </c>
      <c r="G286" t="s">
        <v>74</v>
      </c>
      <c r="H286" t="s">
        <v>74</v>
      </c>
      <c r="I286" t="s">
        <v>4612</v>
      </c>
      <c r="J286" t="s">
        <v>4486</v>
      </c>
      <c r="K286" t="s">
        <v>74</v>
      </c>
      <c r="L286" t="s">
        <v>74</v>
      </c>
      <c r="M286" t="s">
        <v>78</v>
      </c>
      <c r="N286" t="s">
        <v>79</v>
      </c>
      <c r="O286" t="s">
        <v>74</v>
      </c>
      <c r="P286" t="s">
        <v>74</v>
      </c>
      <c r="Q286" t="s">
        <v>74</v>
      </c>
      <c r="R286" t="s">
        <v>74</v>
      </c>
      <c r="S286" t="s">
        <v>74</v>
      </c>
      <c r="T286" t="s">
        <v>4613</v>
      </c>
      <c r="U286" t="s">
        <v>4614</v>
      </c>
      <c r="V286" t="s">
        <v>4615</v>
      </c>
      <c r="W286" t="s">
        <v>4616</v>
      </c>
      <c r="X286" t="s">
        <v>4617</v>
      </c>
      <c r="Y286" t="s">
        <v>4618</v>
      </c>
      <c r="Z286" t="s">
        <v>4619</v>
      </c>
      <c r="AA286" t="s">
        <v>4620</v>
      </c>
      <c r="AB286" t="s">
        <v>4621</v>
      </c>
      <c r="AC286" t="s">
        <v>74</v>
      </c>
      <c r="AD286" t="s">
        <v>74</v>
      </c>
      <c r="AE286" t="s">
        <v>74</v>
      </c>
      <c r="AF286" t="s">
        <v>74</v>
      </c>
      <c r="AG286">
        <v>31</v>
      </c>
      <c r="AH286">
        <v>21</v>
      </c>
      <c r="AI286">
        <v>24</v>
      </c>
      <c r="AJ286">
        <v>0</v>
      </c>
      <c r="AK286">
        <v>3</v>
      </c>
      <c r="AL286" t="s">
        <v>1139</v>
      </c>
      <c r="AM286" t="s">
        <v>476</v>
      </c>
      <c r="AN286" t="s">
        <v>1140</v>
      </c>
      <c r="AO286" t="s">
        <v>4490</v>
      </c>
      <c r="AP286" t="s">
        <v>4519</v>
      </c>
      <c r="AQ286" t="s">
        <v>74</v>
      </c>
      <c r="AR286" t="s">
        <v>4491</v>
      </c>
      <c r="AS286" t="s">
        <v>4492</v>
      </c>
      <c r="AT286" t="s">
        <v>4479</v>
      </c>
      <c r="AU286">
        <v>2006</v>
      </c>
      <c r="AV286">
        <v>18</v>
      </c>
      <c r="AW286">
        <v>2</v>
      </c>
      <c r="AX286" t="s">
        <v>74</v>
      </c>
      <c r="AY286" t="s">
        <v>74</v>
      </c>
      <c r="AZ286" t="s">
        <v>74</v>
      </c>
      <c r="BA286" t="s">
        <v>74</v>
      </c>
      <c r="BB286">
        <v>229</v>
      </c>
      <c r="BC286">
        <v>238</v>
      </c>
      <c r="BD286" t="s">
        <v>74</v>
      </c>
      <c r="BE286" t="s">
        <v>4622</v>
      </c>
      <c r="BF286" t="str">
        <f>HYPERLINK("http://dx.doi.org/10.1017/S0954102006000277","http://dx.doi.org/10.1017/S0954102006000277")</f>
        <v>http://dx.doi.org/10.1017/S0954102006000277</v>
      </c>
      <c r="BG286" t="s">
        <v>74</v>
      </c>
      <c r="BH286" t="s">
        <v>74</v>
      </c>
      <c r="BI286">
        <v>10</v>
      </c>
      <c r="BJ286" t="s">
        <v>4494</v>
      </c>
      <c r="BK286" t="s">
        <v>97</v>
      </c>
      <c r="BL286" t="s">
        <v>4495</v>
      </c>
      <c r="BM286" t="s">
        <v>4496</v>
      </c>
      <c r="BN286" t="s">
        <v>74</v>
      </c>
      <c r="BO286" t="s">
        <v>74</v>
      </c>
      <c r="BP286" t="s">
        <v>74</v>
      </c>
      <c r="BQ286" t="s">
        <v>74</v>
      </c>
      <c r="BR286" t="s">
        <v>100</v>
      </c>
      <c r="BS286" t="s">
        <v>4623</v>
      </c>
      <c r="BT286" t="str">
        <f>HYPERLINK("https%3A%2F%2Fwww.webofscience.com%2Fwos%2Fwoscc%2Ffull-record%2FWOS:000237899000011","View Full Record in Web of Science")</f>
        <v>View Full Record in Web of Science</v>
      </c>
    </row>
    <row r="287" spans="1:72" x14ac:dyDescent="0.15">
      <c r="A287" t="s">
        <v>72</v>
      </c>
      <c r="B287" t="s">
        <v>4624</v>
      </c>
      <c r="C287" t="s">
        <v>74</v>
      </c>
      <c r="D287" t="s">
        <v>74</v>
      </c>
      <c r="E287" t="s">
        <v>74</v>
      </c>
      <c r="F287" t="s">
        <v>4624</v>
      </c>
      <c r="G287" t="s">
        <v>74</v>
      </c>
      <c r="H287" t="s">
        <v>74</v>
      </c>
      <c r="I287" t="s">
        <v>4625</v>
      </c>
      <c r="J287" t="s">
        <v>4486</v>
      </c>
      <c r="K287" t="s">
        <v>74</v>
      </c>
      <c r="L287" t="s">
        <v>74</v>
      </c>
      <c r="M287" t="s">
        <v>78</v>
      </c>
      <c r="N287" t="s">
        <v>79</v>
      </c>
      <c r="O287" t="s">
        <v>74</v>
      </c>
      <c r="P287" t="s">
        <v>74</v>
      </c>
      <c r="Q287" t="s">
        <v>74</v>
      </c>
      <c r="R287" t="s">
        <v>74</v>
      </c>
      <c r="S287" t="s">
        <v>74</v>
      </c>
      <c r="T287" t="s">
        <v>4626</v>
      </c>
      <c r="U287" t="s">
        <v>4627</v>
      </c>
      <c r="V287" t="s">
        <v>4628</v>
      </c>
      <c r="W287" t="s">
        <v>4629</v>
      </c>
      <c r="X287" t="s">
        <v>4630</v>
      </c>
      <c r="Y287" t="s">
        <v>4631</v>
      </c>
      <c r="Z287" t="s">
        <v>4632</v>
      </c>
      <c r="AA287" t="s">
        <v>74</v>
      </c>
      <c r="AB287" t="s">
        <v>74</v>
      </c>
      <c r="AC287" t="s">
        <v>74</v>
      </c>
      <c r="AD287" t="s">
        <v>74</v>
      </c>
      <c r="AE287" t="s">
        <v>74</v>
      </c>
      <c r="AF287" t="s">
        <v>74</v>
      </c>
      <c r="AG287">
        <v>50</v>
      </c>
      <c r="AH287">
        <v>5</v>
      </c>
      <c r="AI287">
        <v>5</v>
      </c>
      <c r="AJ287">
        <v>0</v>
      </c>
      <c r="AK287">
        <v>12</v>
      </c>
      <c r="AL287" t="s">
        <v>1139</v>
      </c>
      <c r="AM287" t="s">
        <v>476</v>
      </c>
      <c r="AN287" t="s">
        <v>4489</v>
      </c>
      <c r="AO287" t="s">
        <v>4490</v>
      </c>
      <c r="AP287" t="s">
        <v>74</v>
      </c>
      <c r="AQ287" t="s">
        <v>74</v>
      </c>
      <c r="AR287" t="s">
        <v>4491</v>
      </c>
      <c r="AS287" t="s">
        <v>4492</v>
      </c>
      <c r="AT287" t="s">
        <v>4479</v>
      </c>
      <c r="AU287">
        <v>2006</v>
      </c>
      <c r="AV287">
        <v>18</v>
      </c>
      <c r="AW287">
        <v>2</v>
      </c>
      <c r="AX287" t="s">
        <v>74</v>
      </c>
      <c r="AY287" t="s">
        <v>74</v>
      </c>
      <c r="AZ287" t="s">
        <v>74</v>
      </c>
      <c r="BA287" t="s">
        <v>74</v>
      </c>
      <c r="BB287">
        <v>239</v>
      </c>
      <c r="BC287">
        <v>259</v>
      </c>
      <c r="BD287" t="s">
        <v>74</v>
      </c>
      <c r="BE287" t="s">
        <v>4633</v>
      </c>
      <c r="BF287" t="str">
        <f>HYPERLINK("http://dx.doi.org/10.1017/S0954102006000289","http://dx.doi.org/10.1017/S0954102006000289")</f>
        <v>http://dx.doi.org/10.1017/S0954102006000289</v>
      </c>
      <c r="BG287" t="s">
        <v>74</v>
      </c>
      <c r="BH287" t="s">
        <v>74</v>
      </c>
      <c r="BI287">
        <v>21</v>
      </c>
      <c r="BJ287" t="s">
        <v>4494</v>
      </c>
      <c r="BK287" t="s">
        <v>97</v>
      </c>
      <c r="BL287" t="s">
        <v>4495</v>
      </c>
      <c r="BM287" t="s">
        <v>4496</v>
      </c>
      <c r="BN287" t="s">
        <v>74</v>
      </c>
      <c r="BO287" t="s">
        <v>74</v>
      </c>
      <c r="BP287" t="s">
        <v>74</v>
      </c>
      <c r="BQ287" t="s">
        <v>74</v>
      </c>
      <c r="BR287" t="s">
        <v>100</v>
      </c>
      <c r="BS287" t="s">
        <v>4634</v>
      </c>
      <c r="BT287" t="str">
        <f>HYPERLINK("https%3A%2F%2Fwww.webofscience.com%2Fwos%2Fwoscc%2Ffull-record%2FWOS:000237899000012","View Full Record in Web of Science")</f>
        <v>View Full Record in Web of Science</v>
      </c>
    </row>
    <row r="288" spans="1:72" x14ac:dyDescent="0.15">
      <c r="A288" t="s">
        <v>72</v>
      </c>
      <c r="B288" t="s">
        <v>4635</v>
      </c>
      <c r="C288" t="s">
        <v>74</v>
      </c>
      <c r="D288" t="s">
        <v>74</v>
      </c>
      <c r="E288" t="s">
        <v>74</v>
      </c>
      <c r="F288" t="s">
        <v>4636</v>
      </c>
      <c r="G288" t="s">
        <v>74</v>
      </c>
      <c r="H288" t="s">
        <v>74</v>
      </c>
      <c r="I288" t="s">
        <v>4637</v>
      </c>
      <c r="J288" t="s">
        <v>4486</v>
      </c>
      <c r="K288" t="s">
        <v>74</v>
      </c>
      <c r="L288" t="s">
        <v>74</v>
      </c>
      <c r="M288" t="s">
        <v>78</v>
      </c>
      <c r="N288" t="s">
        <v>79</v>
      </c>
      <c r="O288" t="s">
        <v>74</v>
      </c>
      <c r="P288" t="s">
        <v>74</v>
      </c>
      <c r="Q288" t="s">
        <v>74</v>
      </c>
      <c r="R288" t="s">
        <v>74</v>
      </c>
      <c r="S288" t="s">
        <v>74</v>
      </c>
      <c r="T288" t="s">
        <v>4638</v>
      </c>
      <c r="U288" t="s">
        <v>4639</v>
      </c>
      <c r="V288" t="s">
        <v>4640</v>
      </c>
      <c r="W288" t="s">
        <v>4641</v>
      </c>
      <c r="X288" t="s">
        <v>4642</v>
      </c>
      <c r="Y288" t="s">
        <v>4643</v>
      </c>
      <c r="Z288" t="s">
        <v>74</v>
      </c>
      <c r="AA288" t="s">
        <v>4644</v>
      </c>
      <c r="AB288" t="s">
        <v>4645</v>
      </c>
      <c r="AC288" t="s">
        <v>4646</v>
      </c>
      <c r="AD288" t="s">
        <v>1328</v>
      </c>
      <c r="AE288" t="s">
        <v>74</v>
      </c>
      <c r="AF288" t="s">
        <v>74</v>
      </c>
      <c r="AG288">
        <v>19</v>
      </c>
      <c r="AH288">
        <v>7</v>
      </c>
      <c r="AI288">
        <v>8</v>
      </c>
      <c r="AJ288">
        <v>0</v>
      </c>
      <c r="AK288">
        <v>3</v>
      </c>
      <c r="AL288" t="s">
        <v>1139</v>
      </c>
      <c r="AM288" t="s">
        <v>476</v>
      </c>
      <c r="AN288" t="s">
        <v>1140</v>
      </c>
      <c r="AO288" t="s">
        <v>4490</v>
      </c>
      <c r="AP288" t="s">
        <v>4519</v>
      </c>
      <c r="AQ288" t="s">
        <v>74</v>
      </c>
      <c r="AR288" t="s">
        <v>4491</v>
      </c>
      <c r="AS288" t="s">
        <v>4492</v>
      </c>
      <c r="AT288" t="s">
        <v>4479</v>
      </c>
      <c r="AU288">
        <v>2006</v>
      </c>
      <c r="AV288">
        <v>18</v>
      </c>
      <c r="AW288">
        <v>2</v>
      </c>
      <c r="AX288" t="s">
        <v>74</v>
      </c>
      <c r="AY288" t="s">
        <v>74</v>
      </c>
      <c r="AZ288" t="s">
        <v>74</v>
      </c>
      <c r="BA288" t="s">
        <v>74</v>
      </c>
      <c r="BB288">
        <v>261</v>
      </c>
      <c r="BC288">
        <v>264</v>
      </c>
      <c r="BD288" t="s">
        <v>74</v>
      </c>
      <c r="BE288" t="s">
        <v>4647</v>
      </c>
      <c r="BF288" t="str">
        <f>HYPERLINK("http://dx.doi.org/10.1017/S0954102006000290","http://dx.doi.org/10.1017/S0954102006000290")</f>
        <v>http://dx.doi.org/10.1017/S0954102006000290</v>
      </c>
      <c r="BG288" t="s">
        <v>74</v>
      </c>
      <c r="BH288" t="s">
        <v>74</v>
      </c>
      <c r="BI288">
        <v>4</v>
      </c>
      <c r="BJ288" t="s">
        <v>4494</v>
      </c>
      <c r="BK288" t="s">
        <v>97</v>
      </c>
      <c r="BL288" t="s">
        <v>4495</v>
      </c>
      <c r="BM288" t="s">
        <v>4496</v>
      </c>
      <c r="BN288" t="s">
        <v>74</v>
      </c>
      <c r="BO288" t="s">
        <v>74</v>
      </c>
      <c r="BP288" t="s">
        <v>74</v>
      </c>
      <c r="BQ288" t="s">
        <v>74</v>
      </c>
      <c r="BR288" t="s">
        <v>100</v>
      </c>
      <c r="BS288" t="s">
        <v>4648</v>
      </c>
      <c r="BT288" t="str">
        <f>HYPERLINK("https%3A%2F%2Fwww.webofscience.com%2Fwos%2Fwoscc%2Ffull-record%2FWOS:000237899000013","View Full Record in Web of Science")</f>
        <v>View Full Record in Web of Science</v>
      </c>
    </row>
    <row r="289" spans="1:72" x14ac:dyDescent="0.15">
      <c r="A289" t="s">
        <v>72</v>
      </c>
      <c r="B289" t="s">
        <v>4649</v>
      </c>
      <c r="C289" t="s">
        <v>74</v>
      </c>
      <c r="D289" t="s">
        <v>74</v>
      </c>
      <c r="E289" t="s">
        <v>74</v>
      </c>
      <c r="F289" t="s">
        <v>4650</v>
      </c>
      <c r="G289" t="s">
        <v>74</v>
      </c>
      <c r="H289" t="s">
        <v>74</v>
      </c>
      <c r="I289" t="s">
        <v>4651</v>
      </c>
      <c r="J289" t="s">
        <v>4486</v>
      </c>
      <c r="K289" t="s">
        <v>74</v>
      </c>
      <c r="L289" t="s">
        <v>74</v>
      </c>
      <c r="M289" t="s">
        <v>78</v>
      </c>
      <c r="N289" t="s">
        <v>79</v>
      </c>
      <c r="O289" t="s">
        <v>74</v>
      </c>
      <c r="P289" t="s">
        <v>74</v>
      </c>
      <c r="Q289" t="s">
        <v>74</v>
      </c>
      <c r="R289" t="s">
        <v>74</v>
      </c>
      <c r="S289" t="s">
        <v>74</v>
      </c>
      <c r="T289" t="s">
        <v>4652</v>
      </c>
      <c r="U289" t="s">
        <v>4653</v>
      </c>
      <c r="V289" t="s">
        <v>4654</v>
      </c>
      <c r="W289" t="s">
        <v>4655</v>
      </c>
      <c r="X289" t="s">
        <v>4656</v>
      </c>
      <c r="Y289" t="s">
        <v>4657</v>
      </c>
      <c r="Z289" t="s">
        <v>4658</v>
      </c>
      <c r="AA289" t="s">
        <v>74</v>
      </c>
      <c r="AB289" t="s">
        <v>74</v>
      </c>
      <c r="AC289" t="s">
        <v>74</v>
      </c>
      <c r="AD289" t="s">
        <v>74</v>
      </c>
      <c r="AE289" t="s">
        <v>74</v>
      </c>
      <c r="AF289" t="s">
        <v>74</v>
      </c>
      <c r="AG289">
        <v>29</v>
      </c>
      <c r="AH289">
        <v>17</v>
      </c>
      <c r="AI289">
        <v>18</v>
      </c>
      <c r="AJ289">
        <v>0</v>
      </c>
      <c r="AK289">
        <v>7</v>
      </c>
      <c r="AL289" t="s">
        <v>1139</v>
      </c>
      <c r="AM289" t="s">
        <v>476</v>
      </c>
      <c r="AN289" t="s">
        <v>1140</v>
      </c>
      <c r="AO289" t="s">
        <v>4490</v>
      </c>
      <c r="AP289" t="s">
        <v>4519</v>
      </c>
      <c r="AQ289" t="s">
        <v>74</v>
      </c>
      <c r="AR289" t="s">
        <v>4491</v>
      </c>
      <c r="AS289" t="s">
        <v>4492</v>
      </c>
      <c r="AT289" t="s">
        <v>4479</v>
      </c>
      <c r="AU289">
        <v>2006</v>
      </c>
      <c r="AV289">
        <v>18</v>
      </c>
      <c r="AW289">
        <v>2</v>
      </c>
      <c r="AX289" t="s">
        <v>74</v>
      </c>
      <c r="AY289" t="s">
        <v>74</v>
      </c>
      <c r="AZ289" t="s">
        <v>74</v>
      </c>
      <c r="BA289" t="s">
        <v>74</v>
      </c>
      <c r="BB289">
        <v>265</v>
      </c>
      <c r="BC289">
        <v>270</v>
      </c>
      <c r="BD289" t="s">
        <v>74</v>
      </c>
      <c r="BE289" t="s">
        <v>4659</v>
      </c>
      <c r="BF289" t="str">
        <f>HYPERLINK("http://dx.doi.org/10.1017/S0954102006000307","http://dx.doi.org/10.1017/S0954102006000307")</f>
        <v>http://dx.doi.org/10.1017/S0954102006000307</v>
      </c>
      <c r="BG289" t="s">
        <v>74</v>
      </c>
      <c r="BH289" t="s">
        <v>74</v>
      </c>
      <c r="BI289">
        <v>6</v>
      </c>
      <c r="BJ289" t="s">
        <v>4494</v>
      </c>
      <c r="BK289" t="s">
        <v>97</v>
      </c>
      <c r="BL289" t="s">
        <v>4495</v>
      </c>
      <c r="BM289" t="s">
        <v>4496</v>
      </c>
      <c r="BN289" t="s">
        <v>74</v>
      </c>
      <c r="BO289" t="s">
        <v>74</v>
      </c>
      <c r="BP289" t="s">
        <v>74</v>
      </c>
      <c r="BQ289" t="s">
        <v>74</v>
      </c>
      <c r="BR289" t="s">
        <v>100</v>
      </c>
      <c r="BS289" t="s">
        <v>4660</v>
      </c>
      <c r="BT289" t="str">
        <f>HYPERLINK("https%3A%2F%2Fwww.webofscience.com%2Fwos%2Fwoscc%2Ffull-record%2FWOS:000237899000014","View Full Record in Web of Science")</f>
        <v>View Full Record in Web of Science</v>
      </c>
    </row>
    <row r="290" spans="1:72" x14ac:dyDescent="0.15">
      <c r="A290" t="s">
        <v>72</v>
      </c>
      <c r="B290" t="s">
        <v>4661</v>
      </c>
      <c r="C290" t="s">
        <v>74</v>
      </c>
      <c r="D290" t="s">
        <v>74</v>
      </c>
      <c r="E290" t="s">
        <v>74</v>
      </c>
      <c r="F290" t="s">
        <v>4662</v>
      </c>
      <c r="G290" t="s">
        <v>74</v>
      </c>
      <c r="H290" t="s">
        <v>74</v>
      </c>
      <c r="I290" t="s">
        <v>4663</v>
      </c>
      <c r="J290" t="s">
        <v>4486</v>
      </c>
      <c r="K290" t="s">
        <v>74</v>
      </c>
      <c r="L290" t="s">
        <v>74</v>
      </c>
      <c r="M290" t="s">
        <v>78</v>
      </c>
      <c r="N290" t="s">
        <v>79</v>
      </c>
      <c r="O290" t="s">
        <v>74</v>
      </c>
      <c r="P290" t="s">
        <v>74</v>
      </c>
      <c r="Q290" t="s">
        <v>74</v>
      </c>
      <c r="R290" t="s">
        <v>74</v>
      </c>
      <c r="S290" t="s">
        <v>74</v>
      </c>
      <c r="T290" t="s">
        <v>4664</v>
      </c>
      <c r="U290" t="s">
        <v>4665</v>
      </c>
      <c r="V290" t="s">
        <v>4666</v>
      </c>
      <c r="W290" t="s">
        <v>4667</v>
      </c>
      <c r="X290" t="s">
        <v>4668</v>
      </c>
      <c r="Y290" t="s">
        <v>4669</v>
      </c>
      <c r="Z290" t="s">
        <v>4670</v>
      </c>
      <c r="AA290" t="s">
        <v>4671</v>
      </c>
      <c r="AB290" t="s">
        <v>4672</v>
      </c>
      <c r="AC290" t="s">
        <v>74</v>
      </c>
      <c r="AD290" t="s">
        <v>74</v>
      </c>
      <c r="AE290" t="s">
        <v>74</v>
      </c>
      <c r="AF290" t="s">
        <v>74</v>
      </c>
      <c r="AG290">
        <v>21</v>
      </c>
      <c r="AH290">
        <v>19</v>
      </c>
      <c r="AI290">
        <v>21</v>
      </c>
      <c r="AJ290">
        <v>0</v>
      </c>
      <c r="AK290">
        <v>5</v>
      </c>
      <c r="AL290" t="s">
        <v>1139</v>
      </c>
      <c r="AM290" t="s">
        <v>476</v>
      </c>
      <c r="AN290" t="s">
        <v>1140</v>
      </c>
      <c r="AO290" t="s">
        <v>4490</v>
      </c>
      <c r="AP290" t="s">
        <v>4519</v>
      </c>
      <c r="AQ290" t="s">
        <v>74</v>
      </c>
      <c r="AR290" t="s">
        <v>4491</v>
      </c>
      <c r="AS290" t="s">
        <v>4492</v>
      </c>
      <c r="AT290" t="s">
        <v>4479</v>
      </c>
      <c r="AU290">
        <v>2006</v>
      </c>
      <c r="AV290">
        <v>18</v>
      </c>
      <c r="AW290">
        <v>2</v>
      </c>
      <c r="AX290" t="s">
        <v>74</v>
      </c>
      <c r="AY290" t="s">
        <v>74</v>
      </c>
      <c r="AZ290" t="s">
        <v>74</v>
      </c>
      <c r="BA290" t="s">
        <v>74</v>
      </c>
      <c r="BB290">
        <v>271</v>
      </c>
      <c r="BC290">
        <v>278</v>
      </c>
      <c r="BD290" t="s">
        <v>74</v>
      </c>
      <c r="BE290" t="s">
        <v>4673</v>
      </c>
      <c r="BF290" t="str">
        <f>HYPERLINK("http://dx.doi.org/10.1017/S0954102006000319","http://dx.doi.org/10.1017/S0954102006000319")</f>
        <v>http://dx.doi.org/10.1017/S0954102006000319</v>
      </c>
      <c r="BG290" t="s">
        <v>74</v>
      </c>
      <c r="BH290" t="s">
        <v>74</v>
      </c>
      <c r="BI290">
        <v>8</v>
      </c>
      <c r="BJ290" t="s">
        <v>4494</v>
      </c>
      <c r="BK290" t="s">
        <v>97</v>
      </c>
      <c r="BL290" t="s">
        <v>4495</v>
      </c>
      <c r="BM290" t="s">
        <v>4496</v>
      </c>
      <c r="BN290" t="s">
        <v>74</v>
      </c>
      <c r="BO290" t="s">
        <v>147</v>
      </c>
      <c r="BP290" t="s">
        <v>74</v>
      </c>
      <c r="BQ290" t="s">
        <v>74</v>
      </c>
      <c r="BR290" t="s">
        <v>100</v>
      </c>
      <c r="BS290" t="s">
        <v>4674</v>
      </c>
      <c r="BT290" t="str">
        <f>HYPERLINK("https%3A%2F%2Fwww.webofscience.com%2Fwos%2Fwoscc%2Ffull-record%2FWOS:000237899000015","View Full Record in Web of Science")</f>
        <v>View Full Record in Web of Science</v>
      </c>
    </row>
    <row r="291" spans="1:72" x14ac:dyDescent="0.15">
      <c r="A291" t="s">
        <v>72</v>
      </c>
      <c r="B291" t="s">
        <v>4675</v>
      </c>
      <c r="C291" t="s">
        <v>74</v>
      </c>
      <c r="D291" t="s">
        <v>74</v>
      </c>
      <c r="E291" t="s">
        <v>74</v>
      </c>
      <c r="F291" t="s">
        <v>4676</v>
      </c>
      <c r="G291" t="s">
        <v>74</v>
      </c>
      <c r="H291" t="s">
        <v>74</v>
      </c>
      <c r="I291" t="s">
        <v>4677</v>
      </c>
      <c r="J291" t="s">
        <v>4486</v>
      </c>
      <c r="K291" t="s">
        <v>74</v>
      </c>
      <c r="L291" t="s">
        <v>74</v>
      </c>
      <c r="M291" t="s">
        <v>78</v>
      </c>
      <c r="N291" t="s">
        <v>79</v>
      </c>
      <c r="O291" t="s">
        <v>74</v>
      </c>
      <c r="P291" t="s">
        <v>74</v>
      </c>
      <c r="Q291" t="s">
        <v>74</v>
      </c>
      <c r="R291" t="s">
        <v>74</v>
      </c>
      <c r="S291" t="s">
        <v>74</v>
      </c>
      <c r="T291" t="s">
        <v>4678</v>
      </c>
      <c r="U291" t="s">
        <v>4679</v>
      </c>
      <c r="V291" t="s">
        <v>4680</v>
      </c>
      <c r="W291" t="s">
        <v>4681</v>
      </c>
      <c r="X291" t="s">
        <v>4682</v>
      </c>
      <c r="Y291" t="s">
        <v>4683</v>
      </c>
      <c r="Z291" t="s">
        <v>4684</v>
      </c>
      <c r="AA291" t="s">
        <v>4685</v>
      </c>
      <c r="AB291" t="s">
        <v>4686</v>
      </c>
      <c r="AC291" t="s">
        <v>74</v>
      </c>
      <c r="AD291" t="s">
        <v>74</v>
      </c>
      <c r="AE291" t="s">
        <v>74</v>
      </c>
      <c r="AF291" t="s">
        <v>74</v>
      </c>
      <c r="AG291">
        <v>13</v>
      </c>
      <c r="AH291">
        <v>22</v>
      </c>
      <c r="AI291">
        <v>23</v>
      </c>
      <c r="AJ291">
        <v>0</v>
      </c>
      <c r="AK291">
        <v>13</v>
      </c>
      <c r="AL291" t="s">
        <v>1139</v>
      </c>
      <c r="AM291" t="s">
        <v>476</v>
      </c>
      <c r="AN291" t="s">
        <v>1140</v>
      </c>
      <c r="AO291" t="s">
        <v>4490</v>
      </c>
      <c r="AP291" t="s">
        <v>4519</v>
      </c>
      <c r="AQ291" t="s">
        <v>74</v>
      </c>
      <c r="AR291" t="s">
        <v>4491</v>
      </c>
      <c r="AS291" t="s">
        <v>4492</v>
      </c>
      <c r="AT291" t="s">
        <v>4479</v>
      </c>
      <c r="AU291">
        <v>2006</v>
      </c>
      <c r="AV291">
        <v>18</v>
      </c>
      <c r="AW291">
        <v>2</v>
      </c>
      <c r="AX291" t="s">
        <v>74</v>
      </c>
      <c r="AY291" t="s">
        <v>74</v>
      </c>
      <c r="AZ291" t="s">
        <v>74</v>
      </c>
      <c r="BA291" t="s">
        <v>74</v>
      </c>
      <c r="BB291">
        <v>279</v>
      </c>
      <c r="BC291">
        <v>288</v>
      </c>
      <c r="BD291" t="s">
        <v>74</v>
      </c>
      <c r="BE291" t="s">
        <v>4687</v>
      </c>
      <c r="BF291" t="str">
        <f>HYPERLINK("http://dx.doi.org/10.1017/S0954102006000320","http://dx.doi.org/10.1017/S0954102006000320")</f>
        <v>http://dx.doi.org/10.1017/S0954102006000320</v>
      </c>
      <c r="BG291" t="s">
        <v>74</v>
      </c>
      <c r="BH291" t="s">
        <v>74</v>
      </c>
      <c r="BI291">
        <v>10</v>
      </c>
      <c r="BJ291" t="s">
        <v>4494</v>
      </c>
      <c r="BK291" t="s">
        <v>97</v>
      </c>
      <c r="BL291" t="s">
        <v>4495</v>
      </c>
      <c r="BM291" t="s">
        <v>4496</v>
      </c>
      <c r="BN291" t="s">
        <v>74</v>
      </c>
      <c r="BO291" t="s">
        <v>74</v>
      </c>
      <c r="BP291" t="s">
        <v>74</v>
      </c>
      <c r="BQ291" t="s">
        <v>74</v>
      </c>
      <c r="BR291" t="s">
        <v>100</v>
      </c>
      <c r="BS291" t="s">
        <v>4688</v>
      </c>
      <c r="BT291" t="str">
        <f>HYPERLINK("https%3A%2F%2Fwww.webofscience.com%2Fwos%2Fwoscc%2Ffull-record%2FWOS:000237899000016","View Full Record in Web of Science")</f>
        <v>View Full Record in Web of Science</v>
      </c>
    </row>
    <row r="292" spans="1:72" x14ac:dyDescent="0.15">
      <c r="A292" t="s">
        <v>72</v>
      </c>
      <c r="B292" t="s">
        <v>4689</v>
      </c>
      <c r="C292" t="s">
        <v>74</v>
      </c>
      <c r="D292" t="s">
        <v>74</v>
      </c>
      <c r="E292" t="s">
        <v>74</v>
      </c>
      <c r="F292" t="s">
        <v>4689</v>
      </c>
      <c r="G292" t="s">
        <v>74</v>
      </c>
      <c r="H292" t="s">
        <v>74</v>
      </c>
      <c r="I292" t="s">
        <v>4690</v>
      </c>
      <c r="J292" t="s">
        <v>77</v>
      </c>
      <c r="K292" t="s">
        <v>74</v>
      </c>
      <c r="L292" t="s">
        <v>74</v>
      </c>
      <c r="M292" t="s">
        <v>78</v>
      </c>
      <c r="N292" t="s">
        <v>371</v>
      </c>
      <c r="O292" t="s">
        <v>74</v>
      </c>
      <c r="P292" t="s">
        <v>74</v>
      </c>
      <c r="Q292" t="s">
        <v>74</v>
      </c>
      <c r="R292" t="s">
        <v>74</v>
      </c>
      <c r="S292" t="s">
        <v>74</v>
      </c>
      <c r="T292" t="s">
        <v>74</v>
      </c>
      <c r="U292" t="s">
        <v>74</v>
      </c>
      <c r="V292" t="s">
        <v>74</v>
      </c>
      <c r="W292" t="s">
        <v>4691</v>
      </c>
      <c r="X292" t="s">
        <v>4692</v>
      </c>
      <c r="Y292" t="s">
        <v>4693</v>
      </c>
      <c r="Z292" t="s">
        <v>74</v>
      </c>
      <c r="AA292" t="s">
        <v>4694</v>
      </c>
      <c r="AB292" t="s">
        <v>4695</v>
      </c>
      <c r="AC292" t="s">
        <v>74</v>
      </c>
      <c r="AD292" t="s">
        <v>74</v>
      </c>
      <c r="AE292" t="s">
        <v>74</v>
      </c>
      <c r="AF292" t="s">
        <v>74</v>
      </c>
      <c r="AG292">
        <v>1</v>
      </c>
      <c r="AH292">
        <v>0</v>
      </c>
      <c r="AI292">
        <v>1</v>
      </c>
      <c r="AJ292">
        <v>0</v>
      </c>
      <c r="AK292">
        <v>2</v>
      </c>
      <c r="AL292" t="s">
        <v>87</v>
      </c>
      <c r="AM292" t="s">
        <v>88</v>
      </c>
      <c r="AN292" t="s">
        <v>89</v>
      </c>
      <c r="AO292" t="s">
        <v>90</v>
      </c>
      <c r="AP292" t="s">
        <v>74</v>
      </c>
      <c r="AQ292" t="s">
        <v>74</v>
      </c>
      <c r="AR292" t="s">
        <v>92</v>
      </c>
      <c r="AS292" t="s">
        <v>93</v>
      </c>
      <c r="AT292" t="s">
        <v>4479</v>
      </c>
      <c r="AU292">
        <v>2006</v>
      </c>
      <c r="AV292">
        <v>72</v>
      </c>
      <c r="AW292">
        <v>6</v>
      </c>
      <c r="AX292" t="s">
        <v>74</v>
      </c>
      <c r="AY292" t="s">
        <v>74</v>
      </c>
      <c r="AZ292" t="s">
        <v>74</v>
      </c>
      <c r="BA292" t="s">
        <v>74</v>
      </c>
      <c r="BB292">
        <v>4501</v>
      </c>
      <c r="BC292">
        <v>4501</v>
      </c>
      <c r="BD292" t="s">
        <v>74</v>
      </c>
      <c r="BE292" t="s">
        <v>4696</v>
      </c>
      <c r="BF292" t="str">
        <f>HYPERLINK("http://dx.doi.org/10.1128/AEM.00943-06","http://dx.doi.org/10.1128/AEM.00943-06")</f>
        <v>http://dx.doi.org/10.1128/AEM.00943-06</v>
      </c>
      <c r="BG292" t="s">
        <v>74</v>
      </c>
      <c r="BH292" t="s">
        <v>74</v>
      </c>
      <c r="BI292">
        <v>1</v>
      </c>
      <c r="BJ292" t="s">
        <v>96</v>
      </c>
      <c r="BK292" t="s">
        <v>97</v>
      </c>
      <c r="BL292" t="s">
        <v>96</v>
      </c>
      <c r="BM292" t="s">
        <v>4697</v>
      </c>
      <c r="BN292" t="s">
        <v>74</v>
      </c>
      <c r="BO292" t="s">
        <v>886</v>
      </c>
      <c r="BP292" t="s">
        <v>74</v>
      </c>
      <c r="BQ292" t="s">
        <v>74</v>
      </c>
      <c r="BR292" t="s">
        <v>100</v>
      </c>
      <c r="BS292" t="s">
        <v>4698</v>
      </c>
      <c r="BT292" t="str">
        <f>HYPERLINK("https%3A%2F%2Fwww.webofscience.com%2Fwos%2Fwoscc%2Ffull-record%2FWOS:000238620100096","View Full Record in Web of Science")</f>
        <v>View Full Record in Web of Science</v>
      </c>
    </row>
    <row r="293" spans="1:72" x14ac:dyDescent="0.15">
      <c r="A293" t="s">
        <v>72</v>
      </c>
      <c r="B293" t="s">
        <v>4699</v>
      </c>
      <c r="C293" t="s">
        <v>74</v>
      </c>
      <c r="D293" t="s">
        <v>74</v>
      </c>
      <c r="E293" t="s">
        <v>74</v>
      </c>
      <c r="F293" t="s">
        <v>4699</v>
      </c>
      <c r="G293" t="s">
        <v>74</v>
      </c>
      <c r="H293" t="s">
        <v>74</v>
      </c>
      <c r="I293" t="s">
        <v>4700</v>
      </c>
      <c r="J293" t="s">
        <v>4701</v>
      </c>
      <c r="K293" t="s">
        <v>74</v>
      </c>
      <c r="L293" t="s">
        <v>74</v>
      </c>
      <c r="M293" t="s">
        <v>78</v>
      </c>
      <c r="N293" t="s">
        <v>79</v>
      </c>
      <c r="O293" t="s">
        <v>74</v>
      </c>
      <c r="P293" t="s">
        <v>74</v>
      </c>
      <c r="Q293" t="s">
        <v>74</v>
      </c>
      <c r="R293" t="s">
        <v>74</v>
      </c>
      <c r="S293" t="s">
        <v>74</v>
      </c>
      <c r="T293" t="s">
        <v>4702</v>
      </c>
      <c r="U293" t="s">
        <v>4703</v>
      </c>
      <c r="V293" t="s">
        <v>4704</v>
      </c>
      <c r="W293" t="s">
        <v>4705</v>
      </c>
      <c r="X293" t="s">
        <v>4706</v>
      </c>
      <c r="Y293" t="s">
        <v>4707</v>
      </c>
      <c r="Z293" t="s">
        <v>4708</v>
      </c>
      <c r="AA293" t="s">
        <v>4709</v>
      </c>
      <c r="AB293" t="s">
        <v>4710</v>
      </c>
      <c r="AC293" t="s">
        <v>74</v>
      </c>
      <c r="AD293" t="s">
        <v>74</v>
      </c>
      <c r="AE293" t="s">
        <v>74</v>
      </c>
      <c r="AF293" t="s">
        <v>74</v>
      </c>
      <c r="AG293">
        <v>34</v>
      </c>
      <c r="AH293">
        <v>15</v>
      </c>
      <c r="AI293">
        <v>16</v>
      </c>
      <c r="AJ293">
        <v>0</v>
      </c>
      <c r="AK293">
        <v>8</v>
      </c>
      <c r="AL293" t="s">
        <v>4711</v>
      </c>
      <c r="AM293" t="s">
        <v>4712</v>
      </c>
      <c r="AN293" t="s">
        <v>4713</v>
      </c>
      <c r="AO293" t="s">
        <v>4714</v>
      </c>
      <c r="AP293" t="s">
        <v>74</v>
      </c>
      <c r="AQ293" t="s">
        <v>74</v>
      </c>
      <c r="AR293" t="s">
        <v>4715</v>
      </c>
      <c r="AS293" t="s">
        <v>4716</v>
      </c>
      <c r="AT293" t="s">
        <v>4479</v>
      </c>
      <c r="AU293">
        <v>2006</v>
      </c>
      <c r="AV293">
        <v>68</v>
      </c>
      <c r="AW293">
        <v>2</v>
      </c>
      <c r="AX293" t="s">
        <v>74</v>
      </c>
      <c r="AY293" t="s">
        <v>74</v>
      </c>
      <c r="AZ293" t="s">
        <v>74</v>
      </c>
      <c r="BA293" t="s">
        <v>74</v>
      </c>
      <c r="BB293">
        <v>117</v>
      </c>
      <c r="BC293">
        <v>128</v>
      </c>
      <c r="BD293" t="s">
        <v>74</v>
      </c>
      <c r="BE293" t="s">
        <v>4717</v>
      </c>
      <c r="BF293" t="str">
        <f>HYPERLINK("http://dx.doi.org/10.1007/s00027-006-0819-4","http://dx.doi.org/10.1007/s00027-006-0819-4")</f>
        <v>http://dx.doi.org/10.1007/s00027-006-0819-4</v>
      </c>
      <c r="BG293" t="s">
        <v>74</v>
      </c>
      <c r="BH293" t="s">
        <v>74</v>
      </c>
      <c r="BI293">
        <v>12</v>
      </c>
      <c r="BJ293" t="s">
        <v>4718</v>
      </c>
      <c r="BK293" t="s">
        <v>97</v>
      </c>
      <c r="BL293" t="s">
        <v>1288</v>
      </c>
      <c r="BM293" t="s">
        <v>4719</v>
      </c>
      <c r="BN293" t="s">
        <v>74</v>
      </c>
      <c r="BO293" t="s">
        <v>74</v>
      </c>
      <c r="BP293" t="s">
        <v>74</v>
      </c>
      <c r="BQ293" t="s">
        <v>74</v>
      </c>
      <c r="BR293" t="s">
        <v>100</v>
      </c>
      <c r="BS293" t="s">
        <v>4720</v>
      </c>
      <c r="BT293" t="str">
        <f>HYPERLINK("https%3A%2F%2Fwww.webofscience.com%2Fwos%2Fwoscc%2Ffull-record%2FWOS:000238454000001","View Full Record in Web of Science")</f>
        <v>View Full Record in Web of Science</v>
      </c>
    </row>
    <row r="294" spans="1:72" x14ac:dyDescent="0.15">
      <c r="A294" t="s">
        <v>72</v>
      </c>
      <c r="B294" t="s">
        <v>4721</v>
      </c>
      <c r="C294" t="s">
        <v>74</v>
      </c>
      <c r="D294" t="s">
        <v>74</v>
      </c>
      <c r="E294" t="s">
        <v>74</v>
      </c>
      <c r="F294" t="s">
        <v>4722</v>
      </c>
      <c r="G294" t="s">
        <v>74</v>
      </c>
      <c r="H294" t="s">
        <v>74</v>
      </c>
      <c r="I294" t="s">
        <v>4723</v>
      </c>
      <c r="J294" t="s">
        <v>4724</v>
      </c>
      <c r="K294" t="s">
        <v>74</v>
      </c>
      <c r="L294" t="s">
        <v>74</v>
      </c>
      <c r="M294" t="s">
        <v>4725</v>
      </c>
      <c r="N294" t="s">
        <v>79</v>
      </c>
      <c r="O294" t="s">
        <v>74</v>
      </c>
      <c r="P294" t="s">
        <v>74</v>
      </c>
      <c r="Q294" t="s">
        <v>74</v>
      </c>
      <c r="R294" t="s">
        <v>74</v>
      </c>
      <c r="S294" t="s">
        <v>74</v>
      </c>
      <c r="T294" t="s">
        <v>4726</v>
      </c>
      <c r="U294" t="s">
        <v>74</v>
      </c>
      <c r="V294" t="s">
        <v>4727</v>
      </c>
      <c r="W294" t="s">
        <v>4728</v>
      </c>
      <c r="X294" t="s">
        <v>4729</v>
      </c>
      <c r="Y294" t="s">
        <v>4730</v>
      </c>
      <c r="Z294" t="s">
        <v>4731</v>
      </c>
      <c r="AA294" t="s">
        <v>4732</v>
      </c>
      <c r="AB294" t="s">
        <v>4733</v>
      </c>
      <c r="AC294" t="s">
        <v>74</v>
      </c>
      <c r="AD294" t="s">
        <v>74</v>
      </c>
      <c r="AE294" t="s">
        <v>74</v>
      </c>
      <c r="AF294" t="s">
        <v>74</v>
      </c>
      <c r="AG294">
        <v>16</v>
      </c>
      <c r="AH294">
        <v>1</v>
      </c>
      <c r="AI294">
        <v>1</v>
      </c>
      <c r="AJ294">
        <v>0</v>
      </c>
      <c r="AK294">
        <v>2</v>
      </c>
      <c r="AL294" t="s">
        <v>4734</v>
      </c>
      <c r="AM294" t="s">
        <v>4735</v>
      </c>
      <c r="AN294" t="s">
        <v>4736</v>
      </c>
      <c r="AO294" t="s">
        <v>4737</v>
      </c>
      <c r="AP294" t="s">
        <v>4738</v>
      </c>
      <c r="AQ294" t="s">
        <v>74</v>
      </c>
      <c r="AR294" t="s">
        <v>4739</v>
      </c>
      <c r="AS294" t="s">
        <v>4740</v>
      </c>
      <c r="AT294" t="s">
        <v>4479</v>
      </c>
      <c r="AU294">
        <v>2006</v>
      </c>
      <c r="AV294">
        <v>16</v>
      </c>
      <c r="AW294">
        <v>2</v>
      </c>
      <c r="AX294" t="s">
        <v>74</v>
      </c>
      <c r="AY294" t="s">
        <v>74</v>
      </c>
      <c r="AZ294" t="s">
        <v>74</v>
      </c>
      <c r="BA294" t="s">
        <v>74</v>
      </c>
      <c r="BB294">
        <v>111</v>
      </c>
      <c r="BC294">
        <v>124</v>
      </c>
      <c r="BD294" t="s">
        <v>74</v>
      </c>
      <c r="BE294" t="s">
        <v>74</v>
      </c>
      <c r="BF294" t="s">
        <v>74</v>
      </c>
      <c r="BG294" t="s">
        <v>74</v>
      </c>
      <c r="BH294" t="s">
        <v>74</v>
      </c>
      <c r="BI294">
        <v>14</v>
      </c>
      <c r="BJ294" t="s">
        <v>869</v>
      </c>
      <c r="BK294" t="s">
        <v>3112</v>
      </c>
      <c r="BL294" t="s">
        <v>869</v>
      </c>
      <c r="BM294" t="s">
        <v>4741</v>
      </c>
      <c r="BN294" t="s">
        <v>74</v>
      </c>
      <c r="BO294" t="s">
        <v>74</v>
      </c>
      <c r="BP294" t="s">
        <v>74</v>
      </c>
      <c r="BQ294" t="s">
        <v>74</v>
      </c>
      <c r="BR294" t="s">
        <v>100</v>
      </c>
      <c r="BS294" t="s">
        <v>4742</v>
      </c>
      <c r="BT294" t="str">
        <f>HYPERLINK("https%3A%2F%2Fwww.webofscience.com%2Fwos%2Fwoscc%2Ffull-record%2FWOS:000422526000005","View Full Record in Web of Science")</f>
        <v>View Full Record in Web of Science</v>
      </c>
    </row>
    <row r="295" spans="1:72" x14ac:dyDescent="0.15">
      <c r="A295" t="s">
        <v>72</v>
      </c>
      <c r="B295" t="s">
        <v>4743</v>
      </c>
      <c r="C295" t="s">
        <v>74</v>
      </c>
      <c r="D295" t="s">
        <v>74</v>
      </c>
      <c r="E295" t="s">
        <v>74</v>
      </c>
      <c r="F295" t="s">
        <v>4744</v>
      </c>
      <c r="G295" t="s">
        <v>74</v>
      </c>
      <c r="H295" t="s">
        <v>74</v>
      </c>
      <c r="I295" t="s">
        <v>4745</v>
      </c>
      <c r="J295" t="s">
        <v>4746</v>
      </c>
      <c r="K295" t="s">
        <v>74</v>
      </c>
      <c r="L295" t="s">
        <v>74</v>
      </c>
      <c r="M295" t="s">
        <v>78</v>
      </c>
      <c r="N295" t="s">
        <v>79</v>
      </c>
      <c r="O295" t="s">
        <v>74</v>
      </c>
      <c r="P295" t="s">
        <v>74</v>
      </c>
      <c r="Q295" t="s">
        <v>74</v>
      </c>
      <c r="R295" t="s">
        <v>74</v>
      </c>
      <c r="S295" t="s">
        <v>74</v>
      </c>
      <c r="T295" t="s">
        <v>74</v>
      </c>
      <c r="U295" t="s">
        <v>4747</v>
      </c>
      <c r="V295" t="s">
        <v>4748</v>
      </c>
      <c r="W295" t="s">
        <v>4749</v>
      </c>
      <c r="X295" t="s">
        <v>4750</v>
      </c>
      <c r="Y295" t="s">
        <v>3796</v>
      </c>
      <c r="Z295" t="s">
        <v>3797</v>
      </c>
      <c r="AA295" t="s">
        <v>74</v>
      </c>
      <c r="AB295" t="s">
        <v>74</v>
      </c>
      <c r="AC295" t="s">
        <v>74</v>
      </c>
      <c r="AD295" t="s">
        <v>74</v>
      </c>
      <c r="AE295" t="s">
        <v>74</v>
      </c>
      <c r="AF295" t="s">
        <v>74</v>
      </c>
      <c r="AG295">
        <v>24</v>
      </c>
      <c r="AH295">
        <v>17</v>
      </c>
      <c r="AI295">
        <v>17</v>
      </c>
      <c r="AJ295">
        <v>0</v>
      </c>
      <c r="AK295">
        <v>4</v>
      </c>
      <c r="AL295" t="s">
        <v>4751</v>
      </c>
      <c r="AM295" t="s">
        <v>4752</v>
      </c>
      <c r="AN295" t="s">
        <v>4753</v>
      </c>
      <c r="AO295" t="s">
        <v>4754</v>
      </c>
      <c r="AP295" t="s">
        <v>74</v>
      </c>
      <c r="AQ295" t="s">
        <v>74</v>
      </c>
      <c r="AR295" t="s">
        <v>4755</v>
      </c>
      <c r="AS295" t="s">
        <v>4756</v>
      </c>
      <c r="AT295" t="s">
        <v>4479</v>
      </c>
      <c r="AU295">
        <v>2006</v>
      </c>
      <c r="AV295">
        <v>55</v>
      </c>
      <c r="AW295">
        <v>2</v>
      </c>
      <c r="AX295" t="s">
        <v>74</v>
      </c>
      <c r="AY295" t="s">
        <v>74</v>
      </c>
      <c r="AZ295" t="s">
        <v>74</v>
      </c>
      <c r="BA295" t="s">
        <v>74</v>
      </c>
      <c r="BB295">
        <v>105</v>
      </c>
      <c r="BC295">
        <v>117</v>
      </c>
      <c r="BD295" t="s">
        <v>74</v>
      </c>
      <c r="BE295" t="s">
        <v>74</v>
      </c>
      <c r="BF295" t="s">
        <v>74</v>
      </c>
      <c r="BG295" t="s">
        <v>74</v>
      </c>
      <c r="BH295" t="s">
        <v>74</v>
      </c>
      <c r="BI295">
        <v>13</v>
      </c>
      <c r="BJ295" t="s">
        <v>869</v>
      </c>
      <c r="BK295" t="s">
        <v>97</v>
      </c>
      <c r="BL295" t="s">
        <v>869</v>
      </c>
      <c r="BM295" t="s">
        <v>4757</v>
      </c>
      <c r="BN295" t="s">
        <v>74</v>
      </c>
      <c r="BO295" t="s">
        <v>74</v>
      </c>
      <c r="BP295" t="s">
        <v>74</v>
      </c>
      <c r="BQ295" t="s">
        <v>74</v>
      </c>
      <c r="BR295" t="s">
        <v>100</v>
      </c>
      <c r="BS295" t="s">
        <v>4758</v>
      </c>
      <c r="BT295" t="str">
        <f>HYPERLINK("https%3A%2F%2Fwww.webofscience.com%2Fwos%2Fwoscc%2Ffull-record%2FWOS:000240791400002","View Full Record in Web of Science")</f>
        <v>View Full Record in Web of Science</v>
      </c>
    </row>
    <row r="296" spans="1:72" x14ac:dyDescent="0.15">
      <c r="A296" t="s">
        <v>72</v>
      </c>
      <c r="B296" t="s">
        <v>4759</v>
      </c>
      <c r="C296" t="s">
        <v>74</v>
      </c>
      <c r="D296" t="s">
        <v>74</v>
      </c>
      <c r="E296" t="s">
        <v>74</v>
      </c>
      <c r="F296" t="s">
        <v>4759</v>
      </c>
      <c r="G296" t="s">
        <v>74</v>
      </c>
      <c r="H296" t="s">
        <v>74</v>
      </c>
      <c r="I296" t="s">
        <v>4760</v>
      </c>
      <c r="J296" t="s">
        <v>4761</v>
      </c>
      <c r="K296" t="s">
        <v>74</v>
      </c>
      <c r="L296" t="s">
        <v>74</v>
      </c>
      <c r="M296" t="s">
        <v>78</v>
      </c>
      <c r="N296" t="s">
        <v>79</v>
      </c>
      <c r="O296" t="s">
        <v>74</v>
      </c>
      <c r="P296" t="s">
        <v>74</v>
      </c>
      <c r="Q296" t="s">
        <v>74</v>
      </c>
      <c r="R296" t="s">
        <v>74</v>
      </c>
      <c r="S296" t="s">
        <v>74</v>
      </c>
      <c r="T296" t="s">
        <v>4762</v>
      </c>
      <c r="U296" t="s">
        <v>4763</v>
      </c>
      <c r="V296" t="s">
        <v>4764</v>
      </c>
      <c r="W296" t="s">
        <v>4765</v>
      </c>
      <c r="X296" t="s">
        <v>4766</v>
      </c>
      <c r="Y296" t="s">
        <v>4767</v>
      </c>
      <c r="Z296" t="s">
        <v>4768</v>
      </c>
      <c r="AA296" t="s">
        <v>74</v>
      </c>
      <c r="AB296" t="s">
        <v>4769</v>
      </c>
      <c r="AC296" t="s">
        <v>74</v>
      </c>
      <c r="AD296" t="s">
        <v>74</v>
      </c>
      <c r="AE296" t="s">
        <v>74</v>
      </c>
      <c r="AF296" t="s">
        <v>74</v>
      </c>
      <c r="AG296">
        <v>38</v>
      </c>
      <c r="AH296">
        <v>21</v>
      </c>
      <c r="AI296">
        <v>26</v>
      </c>
      <c r="AJ296">
        <v>1</v>
      </c>
      <c r="AK296">
        <v>22</v>
      </c>
      <c r="AL296" t="s">
        <v>994</v>
      </c>
      <c r="AM296" t="s">
        <v>476</v>
      </c>
      <c r="AN296" t="s">
        <v>995</v>
      </c>
      <c r="AO296" t="s">
        <v>4770</v>
      </c>
      <c r="AP296" t="s">
        <v>74</v>
      </c>
      <c r="AQ296" t="s">
        <v>74</v>
      </c>
      <c r="AR296" t="s">
        <v>4771</v>
      </c>
      <c r="AS296" t="s">
        <v>4772</v>
      </c>
      <c r="AT296" t="s">
        <v>4479</v>
      </c>
      <c r="AU296">
        <v>2006</v>
      </c>
      <c r="AV296">
        <v>60</v>
      </c>
      <c r="AW296">
        <v>2</v>
      </c>
      <c r="AX296" t="s">
        <v>74</v>
      </c>
      <c r="AY296" t="s">
        <v>74</v>
      </c>
      <c r="AZ296" t="s">
        <v>74</v>
      </c>
      <c r="BA296" t="s">
        <v>74</v>
      </c>
      <c r="BB296">
        <v>137</v>
      </c>
      <c r="BC296">
        <v>149</v>
      </c>
      <c r="BD296" t="s">
        <v>74</v>
      </c>
      <c r="BE296" t="s">
        <v>4773</v>
      </c>
      <c r="BF296" t="str">
        <f>HYPERLINK("http://dx.doi.org/10.1007/s00265-005-0150-4","http://dx.doi.org/10.1007/s00265-005-0150-4")</f>
        <v>http://dx.doi.org/10.1007/s00265-005-0150-4</v>
      </c>
      <c r="BG296" t="s">
        <v>74</v>
      </c>
      <c r="BH296" t="s">
        <v>74</v>
      </c>
      <c r="BI296">
        <v>13</v>
      </c>
      <c r="BJ296" t="s">
        <v>4774</v>
      </c>
      <c r="BK296" t="s">
        <v>97</v>
      </c>
      <c r="BL296" t="s">
        <v>4775</v>
      </c>
      <c r="BM296" t="s">
        <v>4776</v>
      </c>
      <c r="BN296" t="s">
        <v>74</v>
      </c>
      <c r="BO296" t="s">
        <v>74</v>
      </c>
      <c r="BP296" t="s">
        <v>74</v>
      </c>
      <c r="BQ296" t="s">
        <v>74</v>
      </c>
      <c r="BR296" t="s">
        <v>100</v>
      </c>
      <c r="BS296" t="s">
        <v>4777</v>
      </c>
      <c r="BT296" t="str">
        <f>HYPERLINK("https%3A%2F%2Fwww.webofscience.com%2Fwos%2Fwoscc%2Ffull-record%2FWOS:000238544000004","View Full Record in Web of Science")</f>
        <v>View Full Record in Web of Science</v>
      </c>
    </row>
    <row r="297" spans="1:72" x14ac:dyDescent="0.15">
      <c r="A297" t="s">
        <v>72</v>
      </c>
      <c r="B297" t="s">
        <v>4778</v>
      </c>
      <c r="C297" t="s">
        <v>74</v>
      </c>
      <c r="D297" t="s">
        <v>74</v>
      </c>
      <c r="E297" t="s">
        <v>74</v>
      </c>
      <c r="F297" t="s">
        <v>4779</v>
      </c>
      <c r="G297" t="s">
        <v>74</v>
      </c>
      <c r="H297" t="s">
        <v>74</v>
      </c>
      <c r="I297" t="s">
        <v>4780</v>
      </c>
      <c r="J297" t="s">
        <v>2622</v>
      </c>
      <c r="K297" t="s">
        <v>74</v>
      </c>
      <c r="L297" t="s">
        <v>74</v>
      </c>
      <c r="M297" t="s">
        <v>78</v>
      </c>
      <c r="N297" t="s">
        <v>79</v>
      </c>
      <c r="O297" t="s">
        <v>74</v>
      </c>
      <c r="P297" t="s">
        <v>74</v>
      </c>
      <c r="Q297" t="s">
        <v>74</v>
      </c>
      <c r="R297" t="s">
        <v>74</v>
      </c>
      <c r="S297" t="s">
        <v>74</v>
      </c>
      <c r="T297" t="s">
        <v>4781</v>
      </c>
      <c r="U297" t="s">
        <v>4782</v>
      </c>
      <c r="V297" t="s">
        <v>4783</v>
      </c>
      <c r="W297" t="s">
        <v>4784</v>
      </c>
      <c r="X297" t="s">
        <v>4785</v>
      </c>
      <c r="Y297" t="s">
        <v>4786</v>
      </c>
      <c r="Z297" t="s">
        <v>4787</v>
      </c>
      <c r="AA297" t="s">
        <v>74</v>
      </c>
      <c r="AB297" t="s">
        <v>74</v>
      </c>
      <c r="AC297" t="s">
        <v>74</v>
      </c>
      <c r="AD297" t="s">
        <v>74</v>
      </c>
      <c r="AE297" t="s">
        <v>74</v>
      </c>
      <c r="AF297" t="s">
        <v>74</v>
      </c>
      <c r="AG297">
        <v>45</v>
      </c>
      <c r="AH297">
        <v>41</v>
      </c>
      <c r="AI297">
        <v>49</v>
      </c>
      <c r="AJ297">
        <v>0</v>
      </c>
      <c r="AK297">
        <v>33</v>
      </c>
      <c r="AL297" t="s">
        <v>2630</v>
      </c>
      <c r="AM297" t="s">
        <v>388</v>
      </c>
      <c r="AN297" t="s">
        <v>2631</v>
      </c>
      <c r="AO297" t="s">
        <v>2632</v>
      </c>
      <c r="AP297" t="s">
        <v>4788</v>
      </c>
      <c r="AQ297" t="s">
        <v>74</v>
      </c>
      <c r="AR297" t="s">
        <v>2633</v>
      </c>
      <c r="AS297" t="s">
        <v>2634</v>
      </c>
      <c r="AT297" t="s">
        <v>4479</v>
      </c>
      <c r="AU297">
        <v>2006</v>
      </c>
      <c r="AV297">
        <v>130</v>
      </c>
      <c r="AW297">
        <v>1</v>
      </c>
      <c r="AX297" t="s">
        <v>74</v>
      </c>
      <c r="AY297" t="s">
        <v>74</v>
      </c>
      <c r="AZ297" t="s">
        <v>74</v>
      </c>
      <c r="BA297" t="s">
        <v>74</v>
      </c>
      <c r="BB297">
        <v>98</v>
      </c>
      <c r="BC297">
        <v>105</v>
      </c>
      <c r="BD297" t="s">
        <v>74</v>
      </c>
      <c r="BE297" t="s">
        <v>4789</v>
      </c>
      <c r="BF297" t="str">
        <f>HYPERLINK("http://dx.doi.org/10.1016/j.biocon.2005.12.005","http://dx.doi.org/10.1016/j.biocon.2005.12.005")</f>
        <v>http://dx.doi.org/10.1016/j.biocon.2005.12.005</v>
      </c>
      <c r="BG297" t="s">
        <v>74</v>
      </c>
      <c r="BH297" t="s">
        <v>74</v>
      </c>
      <c r="BI297">
        <v>8</v>
      </c>
      <c r="BJ297" t="s">
        <v>2637</v>
      </c>
      <c r="BK297" t="s">
        <v>97</v>
      </c>
      <c r="BL297" t="s">
        <v>1526</v>
      </c>
      <c r="BM297" t="s">
        <v>4790</v>
      </c>
      <c r="BN297" t="s">
        <v>74</v>
      </c>
      <c r="BO297" t="s">
        <v>74</v>
      </c>
      <c r="BP297" t="s">
        <v>74</v>
      </c>
      <c r="BQ297" t="s">
        <v>74</v>
      </c>
      <c r="BR297" t="s">
        <v>100</v>
      </c>
      <c r="BS297" t="s">
        <v>4791</v>
      </c>
      <c r="BT297" t="str">
        <f>HYPERLINK("https%3A%2F%2Fwww.webofscience.com%2Fwos%2Fwoscc%2Ffull-record%2FWOS:000238269000009","View Full Record in Web of Science")</f>
        <v>View Full Record in Web of Science</v>
      </c>
    </row>
    <row r="298" spans="1:72" x14ac:dyDescent="0.15">
      <c r="A298" t="s">
        <v>72</v>
      </c>
      <c r="B298" t="s">
        <v>4792</v>
      </c>
      <c r="C298" t="s">
        <v>74</v>
      </c>
      <c r="D298" t="s">
        <v>74</v>
      </c>
      <c r="E298" t="s">
        <v>74</v>
      </c>
      <c r="F298" t="s">
        <v>4793</v>
      </c>
      <c r="G298" t="s">
        <v>74</v>
      </c>
      <c r="H298" t="s">
        <v>74</v>
      </c>
      <c r="I298" t="s">
        <v>4794</v>
      </c>
      <c r="J298" t="s">
        <v>4795</v>
      </c>
      <c r="K298" t="s">
        <v>74</v>
      </c>
      <c r="L298" t="s">
        <v>74</v>
      </c>
      <c r="M298" t="s">
        <v>78</v>
      </c>
      <c r="N298" t="s">
        <v>79</v>
      </c>
      <c r="O298" t="s">
        <v>74</v>
      </c>
      <c r="P298" t="s">
        <v>74</v>
      </c>
      <c r="Q298" t="s">
        <v>74</v>
      </c>
      <c r="R298" t="s">
        <v>74</v>
      </c>
      <c r="S298" t="s">
        <v>74</v>
      </c>
      <c r="T298" t="s">
        <v>4796</v>
      </c>
      <c r="U298" t="s">
        <v>4797</v>
      </c>
      <c r="V298" t="s">
        <v>4798</v>
      </c>
      <c r="W298" t="s">
        <v>4799</v>
      </c>
      <c r="X298" t="s">
        <v>4800</v>
      </c>
      <c r="Y298" t="s">
        <v>4801</v>
      </c>
      <c r="Z298" t="s">
        <v>4802</v>
      </c>
      <c r="AA298" t="s">
        <v>4803</v>
      </c>
      <c r="AB298" t="s">
        <v>4804</v>
      </c>
      <c r="AC298" t="s">
        <v>74</v>
      </c>
      <c r="AD298" t="s">
        <v>74</v>
      </c>
      <c r="AE298" t="s">
        <v>74</v>
      </c>
      <c r="AF298" t="s">
        <v>74</v>
      </c>
      <c r="AG298">
        <v>34</v>
      </c>
      <c r="AH298">
        <v>36</v>
      </c>
      <c r="AI298">
        <v>41</v>
      </c>
      <c r="AJ298">
        <v>1</v>
      </c>
      <c r="AK298">
        <v>32</v>
      </c>
      <c r="AL298" t="s">
        <v>994</v>
      </c>
      <c r="AM298" t="s">
        <v>4805</v>
      </c>
      <c r="AN298" t="s">
        <v>4806</v>
      </c>
      <c r="AO298" t="s">
        <v>4807</v>
      </c>
      <c r="AP298" t="s">
        <v>4808</v>
      </c>
      <c r="AQ298" t="s">
        <v>74</v>
      </c>
      <c r="AR298" t="s">
        <v>4809</v>
      </c>
      <c r="AS298" t="s">
        <v>4810</v>
      </c>
      <c r="AT298" t="s">
        <v>4479</v>
      </c>
      <c r="AU298">
        <v>2006</v>
      </c>
      <c r="AV298">
        <v>8</v>
      </c>
      <c r="AW298">
        <v>4</v>
      </c>
      <c r="AX298" t="s">
        <v>74</v>
      </c>
      <c r="AY298" t="s">
        <v>74</v>
      </c>
      <c r="AZ298" t="s">
        <v>74</v>
      </c>
      <c r="BA298" t="s">
        <v>74</v>
      </c>
      <c r="BB298">
        <v>787</v>
      </c>
      <c r="BC298">
        <v>795</v>
      </c>
      <c r="BD298" t="s">
        <v>74</v>
      </c>
      <c r="BE298" t="s">
        <v>4811</v>
      </c>
      <c r="BF298" t="str">
        <f>HYPERLINK("http://dx.doi.org/10.1007/s10530-005-3837-6","http://dx.doi.org/10.1007/s10530-005-3837-6")</f>
        <v>http://dx.doi.org/10.1007/s10530-005-3837-6</v>
      </c>
      <c r="BG298" t="s">
        <v>74</v>
      </c>
      <c r="BH298" t="s">
        <v>74</v>
      </c>
      <c r="BI298">
        <v>9</v>
      </c>
      <c r="BJ298" t="s">
        <v>1525</v>
      </c>
      <c r="BK298" t="s">
        <v>97</v>
      </c>
      <c r="BL298" t="s">
        <v>1526</v>
      </c>
      <c r="BM298" t="s">
        <v>4812</v>
      </c>
      <c r="BN298" t="s">
        <v>74</v>
      </c>
      <c r="BO298" t="s">
        <v>74</v>
      </c>
      <c r="BP298" t="s">
        <v>74</v>
      </c>
      <c r="BQ298" t="s">
        <v>74</v>
      </c>
      <c r="BR298" t="s">
        <v>100</v>
      </c>
      <c r="BS298" t="s">
        <v>4813</v>
      </c>
      <c r="BT298" t="str">
        <f>HYPERLINK("https%3A%2F%2Fwww.webofscience.com%2Fwos%2Fwoscc%2Ffull-record%2FWOS:000238531200021","View Full Record in Web of Science")</f>
        <v>View Full Record in Web of Science</v>
      </c>
    </row>
    <row r="299" spans="1:72" x14ac:dyDescent="0.15">
      <c r="A299" t="s">
        <v>72</v>
      </c>
      <c r="B299" t="s">
        <v>4814</v>
      </c>
      <c r="C299" t="s">
        <v>74</v>
      </c>
      <c r="D299" t="s">
        <v>74</v>
      </c>
      <c r="E299" t="s">
        <v>74</v>
      </c>
      <c r="F299" t="s">
        <v>4815</v>
      </c>
      <c r="G299" t="s">
        <v>74</v>
      </c>
      <c r="H299" t="s">
        <v>74</v>
      </c>
      <c r="I299" t="s">
        <v>4816</v>
      </c>
      <c r="J299" t="s">
        <v>4817</v>
      </c>
      <c r="K299" t="s">
        <v>74</v>
      </c>
      <c r="L299" t="s">
        <v>74</v>
      </c>
      <c r="M299" t="s">
        <v>78</v>
      </c>
      <c r="N299" t="s">
        <v>79</v>
      </c>
      <c r="O299" t="s">
        <v>74</v>
      </c>
      <c r="P299" t="s">
        <v>74</v>
      </c>
      <c r="Q299" t="s">
        <v>74</v>
      </c>
      <c r="R299" t="s">
        <v>74</v>
      </c>
      <c r="S299" t="s">
        <v>74</v>
      </c>
      <c r="T299" t="s">
        <v>4818</v>
      </c>
      <c r="U299" t="s">
        <v>4819</v>
      </c>
      <c r="V299" t="s">
        <v>4820</v>
      </c>
      <c r="W299" t="s">
        <v>4821</v>
      </c>
      <c r="X299" t="s">
        <v>4822</v>
      </c>
      <c r="Y299" t="s">
        <v>4823</v>
      </c>
      <c r="Z299" t="s">
        <v>4824</v>
      </c>
      <c r="AA299" t="s">
        <v>4825</v>
      </c>
      <c r="AB299" t="s">
        <v>4826</v>
      </c>
      <c r="AC299" t="s">
        <v>74</v>
      </c>
      <c r="AD299" t="s">
        <v>74</v>
      </c>
      <c r="AE299" t="s">
        <v>74</v>
      </c>
      <c r="AF299" t="s">
        <v>74</v>
      </c>
      <c r="AG299">
        <v>20</v>
      </c>
      <c r="AH299">
        <v>117</v>
      </c>
      <c r="AI299">
        <v>127</v>
      </c>
      <c r="AJ299">
        <v>0</v>
      </c>
      <c r="AK299">
        <v>21</v>
      </c>
      <c r="AL299" t="s">
        <v>115</v>
      </c>
      <c r="AM299" t="s">
        <v>116</v>
      </c>
      <c r="AN299" t="s">
        <v>117</v>
      </c>
      <c r="AO299" t="s">
        <v>4827</v>
      </c>
      <c r="AP299" t="s">
        <v>4828</v>
      </c>
      <c r="AQ299" t="s">
        <v>74</v>
      </c>
      <c r="AR299" t="s">
        <v>4817</v>
      </c>
      <c r="AS299" t="s">
        <v>4829</v>
      </c>
      <c r="AT299" t="s">
        <v>4479</v>
      </c>
      <c r="AU299">
        <v>2006</v>
      </c>
      <c r="AV299">
        <v>62</v>
      </c>
      <c r="AW299">
        <v>2</v>
      </c>
      <c r="AX299" t="s">
        <v>74</v>
      </c>
      <c r="AY299" t="s">
        <v>74</v>
      </c>
      <c r="AZ299" t="s">
        <v>74</v>
      </c>
      <c r="BA299" t="s">
        <v>74</v>
      </c>
      <c r="BB299">
        <v>372</v>
      </c>
      <c r="BC299">
        <v>378</v>
      </c>
      <c r="BD299" t="s">
        <v>74</v>
      </c>
      <c r="BE299" t="s">
        <v>4830</v>
      </c>
      <c r="BF299" t="str">
        <f>HYPERLINK("http://dx.doi.org/10.1111/j.1541-0420.2005.00493.x","http://dx.doi.org/10.1111/j.1541-0420.2005.00493.x")</f>
        <v>http://dx.doi.org/10.1111/j.1541-0420.2005.00493.x</v>
      </c>
      <c r="BG299" t="s">
        <v>74</v>
      </c>
      <c r="BH299" t="s">
        <v>74</v>
      </c>
      <c r="BI299">
        <v>7</v>
      </c>
      <c r="BJ299" t="s">
        <v>4831</v>
      </c>
      <c r="BK299" t="s">
        <v>97</v>
      </c>
      <c r="BL299" t="s">
        <v>4832</v>
      </c>
      <c r="BM299" t="s">
        <v>4833</v>
      </c>
      <c r="BN299">
        <v>16918901</v>
      </c>
      <c r="BO299" t="s">
        <v>74</v>
      </c>
      <c r="BP299" t="s">
        <v>74</v>
      </c>
      <c r="BQ299" t="s">
        <v>74</v>
      </c>
      <c r="BR299" t="s">
        <v>100</v>
      </c>
      <c r="BS299" t="s">
        <v>4834</v>
      </c>
      <c r="BT299" t="str">
        <f>HYPERLINK("https%3A%2F%2Fwww.webofscience.com%2Fwos%2Fwoscc%2Ffull-record%2FWOS:000238384500006","View Full Record in Web of Science")</f>
        <v>View Full Record in Web of Science</v>
      </c>
    </row>
    <row r="300" spans="1:72" x14ac:dyDescent="0.15">
      <c r="A300" t="s">
        <v>72</v>
      </c>
      <c r="B300" t="s">
        <v>4835</v>
      </c>
      <c r="C300" t="s">
        <v>74</v>
      </c>
      <c r="D300" t="s">
        <v>74</v>
      </c>
      <c r="E300" t="s">
        <v>74</v>
      </c>
      <c r="F300" t="s">
        <v>4836</v>
      </c>
      <c r="G300" t="s">
        <v>74</v>
      </c>
      <c r="H300" t="s">
        <v>74</v>
      </c>
      <c r="I300" t="s">
        <v>4837</v>
      </c>
      <c r="J300" t="s">
        <v>4838</v>
      </c>
      <c r="K300" t="s">
        <v>74</v>
      </c>
      <c r="L300" t="s">
        <v>74</v>
      </c>
      <c r="M300" t="s">
        <v>78</v>
      </c>
      <c r="N300" t="s">
        <v>79</v>
      </c>
      <c r="O300" t="s">
        <v>74</v>
      </c>
      <c r="P300" t="s">
        <v>74</v>
      </c>
      <c r="Q300" t="s">
        <v>74</v>
      </c>
      <c r="R300" t="s">
        <v>74</v>
      </c>
      <c r="S300" t="s">
        <v>74</v>
      </c>
      <c r="T300" t="s">
        <v>4839</v>
      </c>
      <c r="U300" t="s">
        <v>4840</v>
      </c>
      <c r="V300" t="s">
        <v>4841</v>
      </c>
      <c r="W300" t="s">
        <v>4842</v>
      </c>
      <c r="X300" t="s">
        <v>4843</v>
      </c>
      <c r="Y300" t="s">
        <v>4844</v>
      </c>
      <c r="Z300" t="s">
        <v>4845</v>
      </c>
      <c r="AA300" t="s">
        <v>4846</v>
      </c>
      <c r="AB300" t="s">
        <v>4847</v>
      </c>
      <c r="AC300" t="s">
        <v>4848</v>
      </c>
      <c r="AD300" t="s">
        <v>413</v>
      </c>
      <c r="AE300" t="s">
        <v>74</v>
      </c>
      <c r="AF300" t="s">
        <v>74</v>
      </c>
      <c r="AG300">
        <v>50</v>
      </c>
      <c r="AH300">
        <v>40</v>
      </c>
      <c r="AI300">
        <v>42</v>
      </c>
      <c r="AJ300">
        <v>0</v>
      </c>
      <c r="AK300">
        <v>24</v>
      </c>
      <c r="AL300" t="s">
        <v>994</v>
      </c>
      <c r="AM300" t="s">
        <v>476</v>
      </c>
      <c r="AN300" t="s">
        <v>1519</v>
      </c>
      <c r="AO300" t="s">
        <v>4849</v>
      </c>
      <c r="AP300" t="s">
        <v>74</v>
      </c>
      <c r="AQ300" t="s">
        <v>74</v>
      </c>
      <c r="AR300" t="s">
        <v>4850</v>
      </c>
      <c r="AS300" t="s">
        <v>4851</v>
      </c>
      <c r="AT300" t="s">
        <v>4479</v>
      </c>
      <c r="AU300">
        <v>2006</v>
      </c>
      <c r="AV300">
        <v>68</v>
      </c>
      <c r="AW300" t="s">
        <v>2830</v>
      </c>
      <c r="AX300" t="s">
        <v>74</v>
      </c>
      <c r="AY300" t="s">
        <v>74</v>
      </c>
      <c r="AZ300" t="s">
        <v>74</v>
      </c>
      <c r="BA300" t="s">
        <v>74</v>
      </c>
      <c r="BB300">
        <v>737</v>
      </c>
      <c r="BC300">
        <v>752</v>
      </c>
      <c r="BD300" t="s">
        <v>74</v>
      </c>
      <c r="BE300" t="s">
        <v>4852</v>
      </c>
      <c r="BF300" t="str">
        <f>HYPERLINK("http://dx.doi.org/10.1007/s00445-005-0047-0","http://dx.doi.org/10.1007/s00445-005-0047-0")</f>
        <v>http://dx.doi.org/10.1007/s00445-005-0047-0</v>
      </c>
      <c r="BG300" t="s">
        <v>74</v>
      </c>
      <c r="BH300" t="s">
        <v>74</v>
      </c>
      <c r="BI300">
        <v>16</v>
      </c>
      <c r="BJ300" t="s">
        <v>527</v>
      </c>
      <c r="BK300" t="s">
        <v>97</v>
      </c>
      <c r="BL300" t="s">
        <v>528</v>
      </c>
      <c r="BM300" t="s">
        <v>4853</v>
      </c>
      <c r="BN300" t="s">
        <v>74</v>
      </c>
      <c r="BO300" t="s">
        <v>74</v>
      </c>
      <c r="BP300" t="s">
        <v>74</v>
      </c>
      <c r="BQ300" t="s">
        <v>74</v>
      </c>
      <c r="BR300" t="s">
        <v>100</v>
      </c>
      <c r="BS300" t="s">
        <v>4854</v>
      </c>
      <c r="BT300" t="str">
        <f>HYPERLINK("https%3A%2F%2Fwww.webofscience.com%2Fwos%2Fwoscc%2Ffull-record%2FWOS:000238154800011","View Full Record in Web of Science")</f>
        <v>View Full Record in Web of Science</v>
      </c>
    </row>
    <row r="301" spans="1:72" x14ac:dyDescent="0.15">
      <c r="A301" t="s">
        <v>72</v>
      </c>
      <c r="B301" t="s">
        <v>4855</v>
      </c>
      <c r="C301" t="s">
        <v>74</v>
      </c>
      <c r="D301" t="s">
        <v>74</v>
      </c>
      <c r="E301" t="s">
        <v>74</v>
      </c>
      <c r="F301" t="s">
        <v>4856</v>
      </c>
      <c r="G301" t="s">
        <v>74</v>
      </c>
      <c r="H301" t="s">
        <v>74</v>
      </c>
      <c r="I301" t="s">
        <v>4857</v>
      </c>
      <c r="J301" t="s">
        <v>4858</v>
      </c>
      <c r="K301" t="s">
        <v>74</v>
      </c>
      <c r="L301" t="s">
        <v>74</v>
      </c>
      <c r="M301" t="s">
        <v>78</v>
      </c>
      <c r="N301" t="s">
        <v>79</v>
      </c>
      <c r="O301" t="s">
        <v>74</v>
      </c>
      <c r="P301" t="s">
        <v>74</v>
      </c>
      <c r="Q301" t="s">
        <v>74</v>
      </c>
      <c r="R301" t="s">
        <v>74</v>
      </c>
      <c r="S301" t="s">
        <v>74</v>
      </c>
      <c r="T301" t="s">
        <v>74</v>
      </c>
      <c r="U301" t="s">
        <v>4859</v>
      </c>
      <c r="V301" t="s">
        <v>4860</v>
      </c>
      <c r="W301" t="s">
        <v>4861</v>
      </c>
      <c r="X301" t="s">
        <v>4862</v>
      </c>
      <c r="Y301" t="s">
        <v>4863</v>
      </c>
      <c r="Z301" t="s">
        <v>4864</v>
      </c>
      <c r="AA301" t="s">
        <v>4865</v>
      </c>
      <c r="AB301" t="s">
        <v>4866</v>
      </c>
      <c r="AC301" t="s">
        <v>74</v>
      </c>
      <c r="AD301" t="s">
        <v>74</v>
      </c>
      <c r="AE301" t="s">
        <v>74</v>
      </c>
      <c r="AF301" t="s">
        <v>74</v>
      </c>
      <c r="AG301">
        <v>43</v>
      </c>
      <c r="AH301">
        <v>19</v>
      </c>
      <c r="AI301">
        <v>22</v>
      </c>
      <c r="AJ301">
        <v>0</v>
      </c>
      <c r="AK301">
        <v>35</v>
      </c>
      <c r="AL301" t="s">
        <v>4867</v>
      </c>
      <c r="AM301" t="s">
        <v>2652</v>
      </c>
      <c r="AN301" t="s">
        <v>4868</v>
      </c>
      <c r="AO301" t="s">
        <v>4869</v>
      </c>
      <c r="AP301" t="s">
        <v>4870</v>
      </c>
      <c r="AQ301" t="s">
        <v>74</v>
      </c>
      <c r="AR301" t="s">
        <v>4871</v>
      </c>
      <c r="AS301" t="s">
        <v>4872</v>
      </c>
      <c r="AT301" t="s">
        <v>4479</v>
      </c>
      <c r="AU301">
        <v>2006</v>
      </c>
      <c r="AV301">
        <v>63</v>
      </c>
      <c r="AW301">
        <v>6</v>
      </c>
      <c r="AX301" t="s">
        <v>74</v>
      </c>
      <c r="AY301" t="s">
        <v>74</v>
      </c>
      <c r="AZ301" t="s">
        <v>74</v>
      </c>
      <c r="BA301" t="s">
        <v>74</v>
      </c>
      <c r="BB301">
        <v>1251</v>
      </c>
      <c r="BC301">
        <v>1266</v>
      </c>
      <c r="BD301" t="s">
        <v>74</v>
      </c>
      <c r="BE301" t="s">
        <v>4873</v>
      </c>
      <c r="BF301" t="str">
        <f>HYPERLINK("http://dx.doi.org/10.1139/F06-033","http://dx.doi.org/10.1139/F06-033")</f>
        <v>http://dx.doi.org/10.1139/F06-033</v>
      </c>
      <c r="BG301" t="s">
        <v>74</v>
      </c>
      <c r="BH301" t="s">
        <v>74</v>
      </c>
      <c r="BI301">
        <v>16</v>
      </c>
      <c r="BJ301" t="s">
        <v>4874</v>
      </c>
      <c r="BK301" t="s">
        <v>97</v>
      </c>
      <c r="BL301" t="s">
        <v>4874</v>
      </c>
      <c r="BM301" t="s">
        <v>4875</v>
      </c>
      <c r="BN301" t="s">
        <v>74</v>
      </c>
      <c r="BO301" t="s">
        <v>99</v>
      </c>
      <c r="BP301" t="s">
        <v>74</v>
      </c>
      <c r="BQ301" t="s">
        <v>74</v>
      </c>
      <c r="BR301" t="s">
        <v>100</v>
      </c>
      <c r="BS301" t="s">
        <v>4876</v>
      </c>
      <c r="BT301" t="str">
        <f>HYPERLINK("https%3A%2F%2Fwww.webofscience.com%2Fwos%2Fwoscc%2Ffull-record%2FWOS:000238285700006","View Full Record in Web of Science")</f>
        <v>View Full Record in Web of Science</v>
      </c>
    </row>
    <row r="302" spans="1:72" x14ac:dyDescent="0.15">
      <c r="A302" t="s">
        <v>72</v>
      </c>
      <c r="B302" t="s">
        <v>4877</v>
      </c>
      <c r="C302" t="s">
        <v>74</v>
      </c>
      <c r="D302" t="s">
        <v>74</v>
      </c>
      <c r="E302" t="s">
        <v>74</v>
      </c>
      <c r="F302" t="s">
        <v>4877</v>
      </c>
      <c r="G302" t="s">
        <v>74</v>
      </c>
      <c r="H302" t="s">
        <v>74</v>
      </c>
      <c r="I302" t="s">
        <v>4878</v>
      </c>
      <c r="J302" t="s">
        <v>2663</v>
      </c>
      <c r="K302" t="s">
        <v>74</v>
      </c>
      <c r="L302" t="s">
        <v>74</v>
      </c>
      <c r="M302" t="s">
        <v>78</v>
      </c>
      <c r="N302" t="s">
        <v>79</v>
      </c>
      <c r="O302" t="s">
        <v>74</v>
      </c>
      <c r="P302" t="s">
        <v>74</v>
      </c>
      <c r="Q302" t="s">
        <v>74</v>
      </c>
      <c r="R302" t="s">
        <v>74</v>
      </c>
      <c r="S302" t="s">
        <v>74</v>
      </c>
      <c r="T302" t="s">
        <v>74</v>
      </c>
      <c r="U302" t="s">
        <v>4879</v>
      </c>
      <c r="V302" t="s">
        <v>4880</v>
      </c>
      <c r="W302" t="s">
        <v>4881</v>
      </c>
      <c r="X302" t="s">
        <v>4882</v>
      </c>
      <c r="Y302" t="s">
        <v>4883</v>
      </c>
      <c r="Z302" t="s">
        <v>4884</v>
      </c>
      <c r="AA302" t="s">
        <v>4885</v>
      </c>
      <c r="AB302" t="s">
        <v>74</v>
      </c>
      <c r="AC302" t="s">
        <v>74</v>
      </c>
      <c r="AD302" t="s">
        <v>74</v>
      </c>
      <c r="AE302" t="s">
        <v>74</v>
      </c>
      <c r="AF302" t="s">
        <v>74</v>
      </c>
      <c r="AG302">
        <v>32</v>
      </c>
      <c r="AH302">
        <v>7</v>
      </c>
      <c r="AI302">
        <v>7</v>
      </c>
      <c r="AJ302">
        <v>0</v>
      </c>
      <c r="AK302">
        <v>1</v>
      </c>
      <c r="AL302" t="s">
        <v>994</v>
      </c>
      <c r="AM302" t="s">
        <v>476</v>
      </c>
      <c r="AN302" t="s">
        <v>1551</v>
      </c>
      <c r="AO302" t="s">
        <v>2671</v>
      </c>
      <c r="AP302" t="s">
        <v>2672</v>
      </c>
      <c r="AQ302" t="s">
        <v>74</v>
      </c>
      <c r="AR302" t="s">
        <v>2673</v>
      </c>
      <c r="AS302" t="s">
        <v>2674</v>
      </c>
      <c r="AT302" t="s">
        <v>4479</v>
      </c>
      <c r="AU302">
        <v>2006</v>
      </c>
      <c r="AV302">
        <v>26</v>
      </c>
      <c r="AW302" t="s">
        <v>2830</v>
      </c>
      <c r="AX302" t="s">
        <v>74</v>
      </c>
      <c r="AY302" t="s">
        <v>74</v>
      </c>
      <c r="AZ302" t="s">
        <v>74</v>
      </c>
      <c r="BA302" t="s">
        <v>74</v>
      </c>
      <c r="BB302">
        <v>835</v>
      </c>
      <c r="BC302">
        <v>854</v>
      </c>
      <c r="BD302" t="s">
        <v>74</v>
      </c>
      <c r="BE302" t="s">
        <v>4886</v>
      </c>
      <c r="BF302" t="str">
        <f>HYPERLINK("http://dx.doi.org/10.1007/s00382-005-0107-3","http://dx.doi.org/10.1007/s00382-005-0107-3")</f>
        <v>http://dx.doi.org/10.1007/s00382-005-0107-3</v>
      </c>
      <c r="BG302" t="s">
        <v>74</v>
      </c>
      <c r="BH302" t="s">
        <v>74</v>
      </c>
      <c r="BI302">
        <v>20</v>
      </c>
      <c r="BJ302" t="s">
        <v>869</v>
      </c>
      <c r="BK302" t="s">
        <v>97</v>
      </c>
      <c r="BL302" t="s">
        <v>869</v>
      </c>
      <c r="BM302" t="s">
        <v>4887</v>
      </c>
      <c r="BN302" t="s">
        <v>74</v>
      </c>
      <c r="BO302" t="s">
        <v>74</v>
      </c>
      <c r="BP302" t="s">
        <v>74</v>
      </c>
      <c r="BQ302" t="s">
        <v>74</v>
      </c>
      <c r="BR302" t="s">
        <v>100</v>
      </c>
      <c r="BS302" t="s">
        <v>4888</v>
      </c>
      <c r="BT302" t="str">
        <f>HYPERLINK("https%3A%2F%2Fwww.webofscience.com%2Fwos%2Fwoscc%2Ffull-record%2FWOS:000237089600011","View Full Record in Web of Science")</f>
        <v>View Full Record in Web of Science</v>
      </c>
    </row>
    <row r="303" spans="1:72" x14ac:dyDescent="0.15">
      <c r="A303" t="s">
        <v>72</v>
      </c>
      <c r="B303" t="s">
        <v>4889</v>
      </c>
      <c r="C303" t="s">
        <v>74</v>
      </c>
      <c r="D303" t="s">
        <v>74</v>
      </c>
      <c r="E303" t="s">
        <v>74</v>
      </c>
      <c r="F303" t="s">
        <v>4889</v>
      </c>
      <c r="G303" t="s">
        <v>74</v>
      </c>
      <c r="H303" t="s">
        <v>74</v>
      </c>
      <c r="I303" t="s">
        <v>4890</v>
      </c>
      <c r="J303" t="s">
        <v>4891</v>
      </c>
      <c r="K303" t="s">
        <v>74</v>
      </c>
      <c r="L303" t="s">
        <v>74</v>
      </c>
      <c r="M303" t="s">
        <v>78</v>
      </c>
      <c r="N303" t="s">
        <v>79</v>
      </c>
      <c r="O303" t="s">
        <v>74</v>
      </c>
      <c r="P303" t="s">
        <v>74</v>
      </c>
      <c r="Q303" t="s">
        <v>74</v>
      </c>
      <c r="R303" t="s">
        <v>74</v>
      </c>
      <c r="S303" t="s">
        <v>74</v>
      </c>
      <c r="T303" t="s">
        <v>74</v>
      </c>
      <c r="U303" t="s">
        <v>74</v>
      </c>
      <c r="V303" t="s">
        <v>74</v>
      </c>
      <c r="W303" t="s">
        <v>4892</v>
      </c>
      <c r="X303" t="s">
        <v>4893</v>
      </c>
      <c r="Y303" t="s">
        <v>4894</v>
      </c>
      <c r="Z303" t="s">
        <v>4895</v>
      </c>
      <c r="AA303" t="s">
        <v>74</v>
      </c>
      <c r="AB303" t="s">
        <v>74</v>
      </c>
      <c r="AC303" t="s">
        <v>74</v>
      </c>
      <c r="AD303" t="s">
        <v>74</v>
      </c>
      <c r="AE303" t="s">
        <v>74</v>
      </c>
      <c r="AF303" t="s">
        <v>74</v>
      </c>
      <c r="AG303">
        <v>11</v>
      </c>
      <c r="AH303">
        <v>13</v>
      </c>
      <c r="AI303">
        <v>18</v>
      </c>
      <c r="AJ303">
        <v>1</v>
      </c>
      <c r="AK303">
        <v>12</v>
      </c>
      <c r="AL303" t="s">
        <v>840</v>
      </c>
      <c r="AM303" t="s">
        <v>388</v>
      </c>
      <c r="AN303" t="s">
        <v>841</v>
      </c>
      <c r="AO303" t="s">
        <v>4896</v>
      </c>
      <c r="AP303" t="s">
        <v>74</v>
      </c>
      <c r="AQ303" t="s">
        <v>74</v>
      </c>
      <c r="AR303" t="s">
        <v>4897</v>
      </c>
      <c r="AS303" t="s">
        <v>4898</v>
      </c>
      <c r="AT303" t="s">
        <v>4479</v>
      </c>
      <c r="AU303">
        <v>2006</v>
      </c>
      <c r="AV303">
        <v>20</v>
      </c>
      <c r="AW303">
        <v>3</v>
      </c>
      <c r="AX303" t="s">
        <v>74</v>
      </c>
      <c r="AY303" t="s">
        <v>74</v>
      </c>
      <c r="AZ303" t="s">
        <v>74</v>
      </c>
      <c r="BA303" t="s">
        <v>74</v>
      </c>
      <c r="BB303">
        <v>626</v>
      </c>
      <c r="BC303">
        <v>628</v>
      </c>
      <c r="BD303" t="s">
        <v>74</v>
      </c>
      <c r="BE303" t="s">
        <v>4899</v>
      </c>
      <c r="BF303" t="str">
        <f>HYPERLINK("http://dx.doi.org/10.1111/j.1523-1739.2006.00472.x","http://dx.doi.org/10.1111/j.1523-1739.2006.00472.x")</f>
        <v>http://dx.doi.org/10.1111/j.1523-1739.2006.00472.x</v>
      </c>
      <c r="BG303" t="s">
        <v>74</v>
      </c>
      <c r="BH303" t="s">
        <v>74</v>
      </c>
      <c r="BI303">
        <v>3</v>
      </c>
      <c r="BJ303" t="s">
        <v>2637</v>
      </c>
      <c r="BK303" t="s">
        <v>97</v>
      </c>
      <c r="BL303" t="s">
        <v>1526</v>
      </c>
      <c r="BM303" t="s">
        <v>4900</v>
      </c>
      <c r="BN303">
        <v>16909545</v>
      </c>
      <c r="BO303" t="s">
        <v>74</v>
      </c>
      <c r="BP303" t="s">
        <v>74</v>
      </c>
      <c r="BQ303" t="s">
        <v>74</v>
      </c>
      <c r="BR303" t="s">
        <v>100</v>
      </c>
      <c r="BS303" t="s">
        <v>4901</v>
      </c>
      <c r="BT303" t="str">
        <f>HYPERLINK("https%3A%2F%2Fwww.webofscience.com%2Fwos%2Fwoscc%2Ffull-record%2FWOS:000238313200010","View Full Record in Web of Science")</f>
        <v>View Full Record in Web of Science</v>
      </c>
    </row>
    <row r="304" spans="1:72" x14ac:dyDescent="0.15">
      <c r="A304" t="s">
        <v>72</v>
      </c>
      <c r="B304" t="s">
        <v>4902</v>
      </c>
      <c r="C304" t="s">
        <v>74</v>
      </c>
      <c r="D304" t="s">
        <v>74</v>
      </c>
      <c r="E304" t="s">
        <v>74</v>
      </c>
      <c r="F304" t="s">
        <v>4903</v>
      </c>
      <c r="G304" t="s">
        <v>74</v>
      </c>
      <c r="H304" t="s">
        <v>74</v>
      </c>
      <c r="I304" t="s">
        <v>4904</v>
      </c>
      <c r="J304" t="s">
        <v>4905</v>
      </c>
      <c r="K304" t="s">
        <v>74</v>
      </c>
      <c r="L304" t="s">
        <v>74</v>
      </c>
      <c r="M304" t="s">
        <v>78</v>
      </c>
      <c r="N304" t="s">
        <v>79</v>
      </c>
      <c r="O304" t="s">
        <v>74</v>
      </c>
      <c r="P304" t="s">
        <v>74</v>
      </c>
      <c r="Q304" t="s">
        <v>74</v>
      </c>
      <c r="R304" t="s">
        <v>74</v>
      </c>
      <c r="S304" t="s">
        <v>74</v>
      </c>
      <c r="T304" t="s">
        <v>74</v>
      </c>
      <c r="U304" t="s">
        <v>4906</v>
      </c>
      <c r="V304" t="s">
        <v>4907</v>
      </c>
      <c r="W304" t="s">
        <v>4908</v>
      </c>
      <c r="X304" t="s">
        <v>4909</v>
      </c>
      <c r="Y304" t="s">
        <v>4910</v>
      </c>
      <c r="Z304" t="s">
        <v>4911</v>
      </c>
      <c r="AA304" t="s">
        <v>4912</v>
      </c>
      <c r="AB304" t="s">
        <v>4913</v>
      </c>
      <c r="AC304" t="s">
        <v>74</v>
      </c>
      <c r="AD304" t="s">
        <v>74</v>
      </c>
      <c r="AE304" t="s">
        <v>74</v>
      </c>
      <c r="AF304" t="s">
        <v>74</v>
      </c>
      <c r="AG304">
        <v>59</v>
      </c>
      <c r="AH304">
        <v>162</v>
      </c>
      <c r="AI304">
        <v>184</v>
      </c>
      <c r="AJ304">
        <v>0</v>
      </c>
      <c r="AK304">
        <v>11</v>
      </c>
      <c r="AL304" t="s">
        <v>994</v>
      </c>
      <c r="AM304" t="s">
        <v>476</v>
      </c>
      <c r="AN304" t="s">
        <v>1551</v>
      </c>
      <c r="AO304" t="s">
        <v>4914</v>
      </c>
      <c r="AP304" t="s">
        <v>4915</v>
      </c>
      <c r="AQ304" t="s">
        <v>74</v>
      </c>
      <c r="AR304" t="s">
        <v>4916</v>
      </c>
      <c r="AS304" t="s">
        <v>4917</v>
      </c>
      <c r="AT304" t="s">
        <v>4479</v>
      </c>
      <c r="AU304">
        <v>2006</v>
      </c>
      <c r="AV304">
        <v>151</v>
      </c>
      <c r="AW304">
        <v>6</v>
      </c>
      <c r="AX304" t="s">
        <v>74</v>
      </c>
      <c r="AY304" t="s">
        <v>74</v>
      </c>
      <c r="AZ304" t="s">
        <v>74</v>
      </c>
      <c r="BA304" t="s">
        <v>74</v>
      </c>
      <c r="BB304">
        <v>751</v>
      </c>
      <c r="BC304">
        <v>768</v>
      </c>
      <c r="BD304" t="s">
        <v>74</v>
      </c>
      <c r="BE304" t="s">
        <v>4918</v>
      </c>
      <c r="BF304" t="str">
        <f>HYPERLINK("http://dx.doi.org/10.1007/s00410-006-0091-6","http://dx.doi.org/10.1007/s00410-006-0091-6")</f>
        <v>http://dx.doi.org/10.1007/s00410-006-0091-6</v>
      </c>
      <c r="BG304" t="s">
        <v>74</v>
      </c>
      <c r="BH304" t="s">
        <v>74</v>
      </c>
      <c r="BI304">
        <v>18</v>
      </c>
      <c r="BJ304" t="s">
        <v>4919</v>
      </c>
      <c r="BK304" t="s">
        <v>97</v>
      </c>
      <c r="BL304" t="s">
        <v>4919</v>
      </c>
      <c r="BM304" t="s">
        <v>4920</v>
      </c>
      <c r="BN304" t="s">
        <v>74</v>
      </c>
      <c r="BO304" t="s">
        <v>74</v>
      </c>
      <c r="BP304" t="s">
        <v>74</v>
      </c>
      <c r="BQ304" t="s">
        <v>74</v>
      </c>
      <c r="BR304" t="s">
        <v>100</v>
      </c>
      <c r="BS304" t="s">
        <v>4921</v>
      </c>
      <c r="BT304" t="str">
        <f>HYPERLINK("https%3A%2F%2Fwww.webofscience.com%2Fwos%2Fwoscc%2Ffull-record%2FWOS:000237824900008","View Full Record in Web of Science")</f>
        <v>View Full Record in Web of Science</v>
      </c>
    </row>
    <row r="305" spans="1:72" x14ac:dyDescent="0.15">
      <c r="A305" t="s">
        <v>72</v>
      </c>
      <c r="B305" t="s">
        <v>4922</v>
      </c>
      <c r="C305" t="s">
        <v>74</v>
      </c>
      <c r="D305" t="s">
        <v>74</v>
      </c>
      <c r="E305" t="s">
        <v>74</v>
      </c>
      <c r="F305" t="s">
        <v>4923</v>
      </c>
      <c r="G305" t="s">
        <v>74</v>
      </c>
      <c r="H305" t="s">
        <v>74</v>
      </c>
      <c r="I305" t="s">
        <v>4924</v>
      </c>
      <c r="J305" t="s">
        <v>2699</v>
      </c>
      <c r="K305" t="s">
        <v>74</v>
      </c>
      <c r="L305" t="s">
        <v>74</v>
      </c>
      <c r="M305" t="s">
        <v>78</v>
      </c>
      <c r="N305" t="s">
        <v>79</v>
      </c>
      <c r="O305" t="s">
        <v>74</v>
      </c>
      <c r="P305" t="s">
        <v>74</v>
      </c>
      <c r="Q305" t="s">
        <v>74</v>
      </c>
      <c r="R305" t="s">
        <v>74</v>
      </c>
      <c r="S305" t="s">
        <v>74</v>
      </c>
      <c r="T305" t="s">
        <v>74</v>
      </c>
      <c r="U305" t="s">
        <v>4925</v>
      </c>
      <c r="V305" t="s">
        <v>4926</v>
      </c>
      <c r="W305" t="s">
        <v>4927</v>
      </c>
      <c r="X305" t="s">
        <v>4928</v>
      </c>
      <c r="Y305" t="s">
        <v>4929</v>
      </c>
      <c r="Z305" t="s">
        <v>4930</v>
      </c>
      <c r="AA305" t="s">
        <v>4931</v>
      </c>
      <c r="AB305" t="s">
        <v>4932</v>
      </c>
      <c r="AC305" t="s">
        <v>74</v>
      </c>
      <c r="AD305" t="s">
        <v>74</v>
      </c>
      <c r="AE305" t="s">
        <v>74</v>
      </c>
      <c r="AF305" t="s">
        <v>74</v>
      </c>
      <c r="AG305">
        <v>75</v>
      </c>
      <c r="AH305">
        <v>49</v>
      </c>
      <c r="AI305">
        <v>57</v>
      </c>
      <c r="AJ305">
        <v>0</v>
      </c>
      <c r="AK305">
        <v>18</v>
      </c>
      <c r="AL305" t="s">
        <v>387</v>
      </c>
      <c r="AM305" t="s">
        <v>388</v>
      </c>
      <c r="AN305" t="s">
        <v>389</v>
      </c>
      <c r="AO305" t="s">
        <v>2707</v>
      </c>
      <c r="AP305" t="s">
        <v>74</v>
      </c>
      <c r="AQ305" t="s">
        <v>74</v>
      </c>
      <c r="AR305" t="s">
        <v>2708</v>
      </c>
      <c r="AS305" t="s">
        <v>2709</v>
      </c>
      <c r="AT305" t="s">
        <v>4479</v>
      </c>
      <c r="AU305">
        <v>2006</v>
      </c>
      <c r="AV305">
        <v>53</v>
      </c>
      <c r="AW305">
        <v>6</v>
      </c>
      <c r="AX305" t="s">
        <v>74</v>
      </c>
      <c r="AY305" t="s">
        <v>74</v>
      </c>
      <c r="AZ305" t="s">
        <v>74</v>
      </c>
      <c r="BA305" t="s">
        <v>74</v>
      </c>
      <c r="BB305">
        <v>987</v>
      </c>
      <c r="BC305">
        <v>1010</v>
      </c>
      <c r="BD305" t="s">
        <v>74</v>
      </c>
      <c r="BE305" t="s">
        <v>4933</v>
      </c>
      <c r="BF305" t="str">
        <f>HYPERLINK("http://dx.doi.org/10.1016/j.dsr.2006.03.006","http://dx.doi.org/10.1016/j.dsr.2006.03.006")</f>
        <v>http://dx.doi.org/10.1016/j.dsr.2006.03.006</v>
      </c>
      <c r="BG305" t="s">
        <v>74</v>
      </c>
      <c r="BH305" t="s">
        <v>74</v>
      </c>
      <c r="BI305">
        <v>24</v>
      </c>
      <c r="BJ305" t="s">
        <v>1069</v>
      </c>
      <c r="BK305" t="s">
        <v>97</v>
      </c>
      <c r="BL305" t="s">
        <v>1069</v>
      </c>
      <c r="BM305" t="s">
        <v>4934</v>
      </c>
      <c r="BN305" t="s">
        <v>74</v>
      </c>
      <c r="BO305" t="s">
        <v>99</v>
      </c>
      <c r="BP305" t="s">
        <v>74</v>
      </c>
      <c r="BQ305" t="s">
        <v>74</v>
      </c>
      <c r="BR305" t="s">
        <v>100</v>
      </c>
      <c r="BS305" t="s">
        <v>4935</v>
      </c>
      <c r="BT305" t="str">
        <f>HYPERLINK("https%3A%2F%2Fwww.webofscience.com%2Fwos%2Fwoscc%2Ffull-record%2FWOS:000239533000005","View Full Record in Web of Science")</f>
        <v>View Full Record in Web of Science</v>
      </c>
    </row>
    <row r="306" spans="1:72" x14ac:dyDescent="0.15">
      <c r="A306" t="s">
        <v>72</v>
      </c>
      <c r="B306" t="s">
        <v>4936</v>
      </c>
      <c r="C306" t="s">
        <v>74</v>
      </c>
      <c r="D306" t="s">
        <v>74</v>
      </c>
      <c r="E306" t="s">
        <v>74</v>
      </c>
      <c r="F306" t="s">
        <v>4937</v>
      </c>
      <c r="G306" t="s">
        <v>74</v>
      </c>
      <c r="H306" t="s">
        <v>74</v>
      </c>
      <c r="I306" t="s">
        <v>4938</v>
      </c>
      <c r="J306" t="s">
        <v>2699</v>
      </c>
      <c r="K306" t="s">
        <v>74</v>
      </c>
      <c r="L306" t="s">
        <v>74</v>
      </c>
      <c r="M306" t="s">
        <v>78</v>
      </c>
      <c r="N306" t="s">
        <v>511</v>
      </c>
      <c r="O306" t="s">
        <v>74</v>
      </c>
      <c r="P306" t="s">
        <v>74</v>
      </c>
      <c r="Q306" t="s">
        <v>74</v>
      </c>
      <c r="R306" t="s">
        <v>74</v>
      </c>
      <c r="S306" t="s">
        <v>74</v>
      </c>
      <c r="T306" t="s">
        <v>4939</v>
      </c>
      <c r="U306" t="s">
        <v>4940</v>
      </c>
      <c r="V306" t="s">
        <v>4941</v>
      </c>
      <c r="W306" t="s">
        <v>4942</v>
      </c>
      <c r="X306" t="s">
        <v>4943</v>
      </c>
      <c r="Y306" t="s">
        <v>4929</v>
      </c>
      <c r="Z306" t="s">
        <v>4930</v>
      </c>
      <c r="AA306" t="s">
        <v>4944</v>
      </c>
      <c r="AB306" t="s">
        <v>4945</v>
      </c>
      <c r="AC306" t="s">
        <v>1550</v>
      </c>
      <c r="AD306" t="s">
        <v>1328</v>
      </c>
      <c r="AE306" t="s">
        <v>74</v>
      </c>
      <c r="AF306" t="s">
        <v>74</v>
      </c>
      <c r="AG306">
        <v>109</v>
      </c>
      <c r="AH306">
        <v>36</v>
      </c>
      <c r="AI306">
        <v>42</v>
      </c>
      <c r="AJ306">
        <v>0</v>
      </c>
      <c r="AK306">
        <v>32</v>
      </c>
      <c r="AL306" t="s">
        <v>387</v>
      </c>
      <c r="AM306" t="s">
        <v>388</v>
      </c>
      <c r="AN306" t="s">
        <v>389</v>
      </c>
      <c r="AO306" t="s">
        <v>2707</v>
      </c>
      <c r="AP306" t="s">
        <v>74</v>
      </c>
      <c r="AQ306" t="s">
        <v>74</v>
      </c>
      <c r="AR306" t="s">
        <v>2708</v>
      </c>
      <c r="AS306" t="s">
        <v>2709</v>
      </c>
      <c r="AT306" t="s">
        <v>4479</v>
      </c>
      <c r="AU306">
        <v>2006</v>
      </c>
      <c r="AV306">
        <v>53</v>
      </c>
      <c r="AW306">
        <v>6</v>
      </c>
      <c r="AX306" t="s">
        <v>74</v>
      </c>
      <c r="AY306" t="s">
        <v>74</v>
      </c>
      <c r="AZ306" t="s">
        <v>74</v>
      </c>
      <c r="BA306" t="s">
        <v>74</v>
      </c>
      <c r="BB306">
        <v>1011</v>
      </c>
      <c r="BC306">
        <v>1043</v>
      </c>
      <c r="BD306" t="s">
        <v>74</v>
      </c>
      <c r="BE306" t="s">
        <v>4946</v>
      </c>
      <c r="BF306" t="str">
        <f>HYPERLINK("http://dx.doi.org/10.1016/j.dsr.2006.03.007","http://dx.doi.org/10.1016/j.dsr.2006.03.007")</f>
        <v>http://dx.doi.org/10.1016/j.dsr.2006.03.007</v>
      </c>
      <c r="BG306" t="s">
        <v>74</v>
      </c>
      <c r="BH306" t="s">
        <v>74</v>
      </c>
      <c r="BI306">
        <v>33</v>
      </c>
      <c r="BJ306" t="s">
        <v>1069</v>
      </c>
      <c r="BK306" t="s">
        <v>97</v>
      </c>
      <c r="BL306" t="s">
        <v>1069</v>
      </c>
      <c r="BM306" t="s">
        <v>4934</v>
      </c>
      <c r="BN306" t="s">
        <v>74</v>
      </c>
      <c r="BO306" t="s">
        <v>99</v>
      </c>
      <c r="BP306" t="s">
        <v>74</v>
      </c>
      <c r="BQ306" t="s">
        <v>74</v>
      </c>
      <c r="BR306" t="s">
        <v>100</v>
      </c>
      <c r="BS306" t="s">
        <v>4947</v>
      </c>
      <c r="BT306" t="str">
        <f>HYPERLINK("https%3A%2F%2Fwww.webofscience.com%2Fwos%2Fwoscc%2Ffull-record%2FWOS:000239533000006","View Full Record in Web of Science")</f>
        <v>View Full Record in Web of Science</v>
      </c>
    </row>
    <row r="307" spans="1:72" x14ac:dyDescent="0.15">
      <c r="A307" t="s">
        <v>72</v>
      </c>
      <c r="B307" t="s">
        <v>4948</v>
      </c>
      <c r="C307" t="s">
        <v>74</v>
      </c>
      <c r="D307" t="s">
        <v>74</v>
      </c>
      <c r="E307" t="s">
        <v>74</v>
      </c>
      <c r="F307" t="s">
        <v>4949</v>
      </c>
      <c r="G307" t="s">
        <v>74</v>
      </c>
      <c r="H307" t="s">
        <v>74</v>
      </c>
      <c r="I307" t="s">
        <v>4950</v>
      </c>
      <c r="J307" t="s">
        <v>4951</v>
      </c>
      <c r="K307" t="s">
        <v>74</v>
      </c>
      <c r="L307" t="s">
        <v>74</v>
      </c>
      <c r="M307" t="s">
        <v>78</v>
      </c>
      <c r="N307" t="s">
        <v>79</v>
      </c>
      <c r="O307" t="s">
        <v>74</v>
      </c>
      <c r="P307" t="s">
        <v>74</v>
      </c>
      <c r="Q307" t="s">
        <v>74</v>
      </c>
      <c r="R307" t="s">
        <v>74</v>
      </c>
      <c r="S307" t="s">
        <v>74</v>
      </c>
      <c r="T307" t="s">
        <v>74</v>
      </c>
      <c r="U307" t="s">
        <v>74</v>
      </c>
      <c r="V307" t="s">
        <v>4952</v>
      </c>
      <c r="W307" t="s">
        <v>269</v>
      </c>
      <c r="X307" t="s">
        <v>270</v>
      </c>
      <c r="Y307" t="s">
        <v>4953</v>
      </c>
      <c r="Z307" t="s">
        <v>4954</v>
      </c>
      <c r="AA307" t="s">
        <v>4955</v>
      </c>
      <c r="AB307" t="s">
        <v>74</v>
      </c>
      <c r="AC307" t="s">
        <v>74</v>
      </c>
      <c r="AD307" t="s">
        <v>74</v>
      </c>
      <c r="AE307" t="s">
        <v>74</v>
      </c>
      <c r="AF307" t="s">
        <v>74</v>
      </c>
      <c r="AG307">
        <v>9</v>
      </c>
      <c r="AH307">
        <v>2</v>
      </c>
      <c r="AI307">
        <v>2</v>
      </c>
      <c r="AJ307">
        <v>0</v>
      </c>
      <c r="AK307">
        <v>5</v>
      </c>
      <c r="AL307" t="s">
        <v>136</v>
      </c>
      <c r="AM307" t="s">
        <v>137</v>
      </c>
      <c r="AN307" t="s">
        <v>4956</v>
      </c>
      <c r="AO307" t="s">
        <v>4957</v>
      </c>
      <c r="AP307" t="s">
        <v>74</v>
      </c>
      <c r="AQ307" t="s">
        <v>74</v>
      </c>
      <c r="AR307" t="s">
        <v>4958</v>
      </c>
      <c r="AS307" t="s">
        <v>4959</v>
      </c>
      <c r="AT307" t="s">
        <v>4479</v>
      </c>
      <c r="AU307">
        <v>2006</v>
      </c>
      <c r="AV307">
        <v>21</v>
      </c>
      <c r="AW307">
        <v>2</v>
      </c>
      <c r="AX307" t="s">
        <v>74</v>
      </c>
      <c r="AY307" t="s">
        <v>74</v>
      </c>
      <c r="AZ307" t="s">
        <v>74</v>
      </c>
      <c r="BA307" t="s">
        <v>74</v>
      </c>
      <c r="BB307">
        <v>231</v>
      </c>
      <c r="BC307">
        <v>233</v>
      </c>
      <c r="BD307" t="s">
        <v>74</v>
      </c>
      <c r="BE307" t="s">
        <v>4960</v>
      </c>
      <c r="BF307" t="str">
        <f>HYPERLINK("http://dx.doi.org/10.1080/14689360600552944","http://dx.doi.org/10.1080/14689360600552944")</f>
        <v>http://dx.doi.org/10.1080/14689360600552944</v>
      </c>
      <c r="BG307" t="s">
        <v>74</v>
      </c>
      <c r="BH307" t="s">
        <v>74</v>
      </c>
      <c r="BI307">
        <v>3</v>
      </c>
      <c r="BJ307" t="s">
        <v>4961</v>
      </c>
      <c r="BK307" t="s">
        <v>97</v>
      </c>
      <c r="BL307" t="s">
        <v>4962</v>
      </c>
      <c r="BM307" t="s">
        <v>4963</v>
      </c>
      <c r="BN307" t="s">
        <v>74</v>
      </c>
      <c r="BO307" t="s">
        <v>74</v>
      </c>
      <c r="BP307" t="s">
        <v>74</v>
      </c>
      <c r="BQ307" t="s">
        <v>74</v>
      </c>
      <c r="BR307" t="s">
        <v>100</v>
      </c>
      <c r="BS307" t="s">
        <v>4964</v>
      </c>
      <c r="BT307" t="str">
        <f>HYPERLINK("https%3A%2F%2Fwww.webofscience.com%2Fwos%2Fwoscc%2Ffull-record%2FWOS:000239389900005","View Full Record in Web of Science")</f>
        <v>View Full Record in Web of Science</v>
      </c>
    </row>
    <row r="308" spans="1:72" x14ac:dyDescent="0.15">
      <c r="A308" t="s">
        <v>72</v>
      </c>
      <c r="B308" t="s">
        <v>4965</v>
      </c>
      <c r="C308" t="s">
        <v>74</v>
      </c>
      <c r="D308" t="s">
        <v>74</v>
      </c>
      <c r="E308" t="s">
        <v>74</v>
      </c>
      <c r="F308" t="s">
        <v>4966</v>
      </c>
      <c r="G308" t="s">
        <v>74</v>
      </c>
      <c r="H308" t="s">
        <v>74</v>
      </c>
      <c r="I308" t="s">
        <v>4967</v>
      </c>
      <c r="J308" t="s">
        <v>510</v>
      </c>
      <c r="K308" t="s">
        <v>74</v>
      </c>
      <c r="L308" t="s">
        <v>74</v>
      </c>
      <c r="M308" t="s">
        <v>78</v>
      </c>
      <c r="N308" t="s">
        <v>79</v>
      </c>
      <c r="O308" t="s">
        <v>74</v>
      </c>
      <c r="P308" t="s">
        <v>74</v>
      </c>
      <c r="Q308" t="s">
        <v>74</v>
      </c>
      <c r="R308" t="s">
        <v>74</v>
      </c>
      <c r="S308" t="s">
        <v>74</v>
      </c>
      <c r="T308" t="s">
        <v>4968</v>
      </c>
      <c r="U308" t="s">
        <v>4969</v>
      </c>
      <c r="V308" t="s">
        <v>4970</v>
      </c>
      <c r="W308" t="s">
        <v>4971</v>
      </c>
      <c r="X308" t="s">
        <v>4972</v>
      </c>
      <c r="Y308" t="s">
        <v>4973</v>
      </c>
      <c r="Z308" t="s">
        <v>4974</v>
      </c>
      <c r="AA308" t="s">
        <v>4975</v>
      </c>
      <c r="AB308" t="s">
        <v>4976</v>
      </c>
      <c r="AC308" t="s">
        <v>74</v>
      </c>
      <c r="AD308" t="s">
        <v>74</v>
      </c>
      <c r="AE308" t="s">
        <v>74</v>
      </c>
      <c r="AF308" t="s">
        <v>74</v>
      </c>
      <c r="AG308">
        <v>76</v>
      </c>
      <c r="AH308">
        <v>104</v>
      </c>
      <c r="AI308">
        <v>114</v>
      </c>
      <c r="AJ308">
        <v>2</v>
      </c>
      <c r="AK308">
        <v>23</v>
      </c>
      <c r="AL308" t="s">
        <v>519</v>
      </c>
      <c r="AM308" t="s">
        <v>520</v>
      </c>
      <c r="AN308" t="s">
        <v>521</v>
      </c>
      <c r="AO308" t="s">
        <v>522</v>
      </c>
      <c r="AP308" t="s">
        <v>523</v>
      </c>
      <c r="AQ308" t="s">
        <v>74</v>
      </c>
      <c r="AR308" t="s">
        <v>524</v>
      </c>
      <c r="AS308" t="s">
        <v>525</v>
      </c>
      <c r="AT308" t="s">
        <v>4479</v>
      </c>
      <c r="AU308">
        <v>2006</v>
      </c>
      <c r="AV308">
        <v>76</v>
      </c>
      <c r="AW308" t="s">
        <v>1243</v>
      </c>
      <c r="AX308" t="s">
        <v>74</v>
      </c>
      <c r="AY308" t="s">
        <v>74</v>
      </c>
      <c r="AZ308" t="s">
        <v>74</v>
      </c>
      <c r="BA308" t="s">
        <v>74</v>
      </c>
      <c r="BB308">
        <v>135</v>
      </c>
      <c r="BC308">
        <v>174</v>
      </c>
      <c r="BD308" t="s">
        <v>74</v>
      </c>
      <c r="BE308" t="s">
        <v>4977</v>
      </c>
      <c r="BF308" t="str">
        <f>HYPERLINK("http://dx.doi.org/10.1016/j.earscirev.2005.11.001","http://dx.doi.org/10.1016/j.earscirev.2005.11.001")</f>
        <v>http://dx.doi.org/10.1016/j.earscirev.2005.11.001</v>
      </c>
      <c r="BG308" t="s">
        <v>74</v>
      </c>
      <c r="BH308" t="s">
        <v>74</v>
      </c>
      <c r="BI308">
        <v>40</v>
      </c>
      <c r="BJ308" t="s">
        <v>527</v>
      </c>
      <c r="BK308" t="s">
        <v>97</v>
      </c>
      <c r="BL308" t="s">
        <v>528</v>
      </c>
      <c r="BM308" t="s">
        <v>4978</v>
      </c>
      <c r="BN308" t="s">
        <v>74</v>
      </c>
      <c r="BO308" t="s">
        <v>74</v>
      </c>
      <c r="BP308" t="s">
        <v>74</v>
      </c>
      <c r="BQ308" t="s">
        <v>74</v>
      </c>
      <c r="BR308" t="s">
        <v>100</v>
      </c>
      <c r="BS308" t="s">
        <v>4979</v>
      </c>
      <c r="BT308" t="str">
        <f>HYPERLINK("https%3A%2F%2Fwww.webofscience.com%2Fwos%2Fwoscc%2Ffull-record%2FWOS:000239126000001","View Full Record in Web of Science")</f>
        <v>View Full Record in Web of Science</v>
      </c>
    </row>
    <row r="309" spans="1:72" x14ac:dyDescent="0.15">
      <c r="A309" t="s">
        <v>72</v>
      </c>
      <c r="B309" t="s">
        <v>4980</v>
      </c>
      <c r="C309" t="s">
        <v>74</v>
      </c>
      <c r="D309" t="s">
        <v>74</v>
      </c>
      <c r="E309" t="s">
        <v>74</v>
      </c>
      <c r="F309" t="s">
        <v>4981</v>
      </c>
      <c r="G309" t="s">
        <v>74</v>
      </c>
      <c r="H309" t="s">
        <v>74</v>
      </c>
      <c r="I309" t="s">
        <v>4982</v>
      </c>
      <c r="J309" t="s">
        <v>4983</v>
      </c>
      <c r="K309" t="s">
        <v>74</v>
      </c>
      <c r="L309" t="s">
        <v>74</v>
      </c>
      <c r="M309" t="s">
        <v>78</v>
      </c>
      <c r="N309" t="s">
        <v>79</v>
      </c>
      <c r="O309" t="s">
        <v>74</v>
      </c>
      <c r="P309" t="s">
        <v>74</v>
      </c>
      <c r="Q309" t="s">
        <v>74</v>
      </c>
      <c r="R309" t="s">
        <v>74</v>
      </c>
      <c r="S309" t="s">
        <v>74</v>
      </c>
      <c r="T309" t="s">
        <v>4984</v>
      </c>
      <c r="U309" t="s">
        <v>4985</v>
      </c>
      <c r="V309" t="s">
        <v>4986</v>
      </c>
      <c r="W309" t="s">
        <v>4987</v>
      </c>
      <c r="X309" t="s">
        <v>4988</v>
      </c>
      <c r="Y309" t="s">
        <v>74</v>
      </c>
      <c r="Z309" t="s">
        <v>74</v>
      </c>
      <c r="AA309" t="s">
        <v>4989</v>
      </c>
      <c r="AB309" t="s">
        <v>4990</v>
      </c>
      <c r="AC309" t="s">
        <v>74</v>
      </c>
      <c r="AD309" t="s">
        <v>74</v>
      </c>
      <c r="AE309" t="s">
        <v>74</v>
      </c>
      <c r="AF309" t="s">
        <v>74</v>
      </c>
      <c r="AG309">
        <v>64</v>
      </c>
      <c r="AH309">
        <v>93</v>
      </c>
      <c r="AI309">
        <v>111</v>
      </c>
      <c r="AJ309">
        <v>0</v>
      </c>
      <c r="AK309">
        <v>32</v>
      </c>
      <c r="AL309" t="s">
        <v>4991</v>
      </c>
      <c r="AM309" t="s">
        <v>4992</v>
      </c>
      <c r="AN309" t="s">
        <v>4993</v>
      </c>
      <c r="AO309" t="s">
        <v>4994</v>
      </c>
      <c r="AP309" t="s">
        <v>74</v>
      </c>
      <c r="AQ309" t="s">
        <v>74</v>
      </c>
      <c r="AR309" t="s">
        <v>4995</v>
      </c>
      <c r="AS309" t="s">
        <v>4996</v>
      </c>
      <c r="AT309" t="s">
        <v>4479</v>
      </c>
      <c r="AU309">
        <v>2006</v>
      </c>
      <c r="AV309">
        <v>11</v>
      </c>
      <c r="AW309">
        <v>1</v>
      </c>
      <c r="AX309" t="s">
        <v>74</v>
      </c>
      <c r="AY309" t="s">
        <v>74</v>
      </c>
      <c r="AZ309" t="s">
        <v>74</v>
      </c>
      <c r="BA309" t="s">
        <v>74</v>
      </c>
      <c r="BB309" t="s">
        <v>74</v>
      </c>
      <c r="BC309" t="s">
        <v>74</v>
      </c>
      <c r="BD309">
        <v>1</v>
      </c>
      <c r="BE309" t="s">
        <v>74</v>
      </c>
      <c r="BF309" t="s">
        <v>74</v>
      </c>
      <c r="BG309" t="s">
        <v>74</v>
      </c>
      <c r="BH309" t="s">
        <v>74</v>
      </c>
      <c r="BI309">
        <v>28</v>
      </c>
      <c r="BJ309" t="s">
        <v>4997</v>
      </c>
      <c r="BK309" t="s">
        <v>97</v>
      </c>
      <c r="BL309" t="s">
        <v>420</v>
      </c>
      <c r="BM309" t="s">
        <v>4998</v>
      </c>
      <c r="BN309" t="s">
        <v>74</v>
      </c>
      <c r="BO309" t="s">
        <v>4999</v>
      </c>
      <c r="BP309" t="s">
        <v>74</v>
      </c>
      <c r="BQ309" t="s">
        <v>74</v>
      </c>
      <c r="BR309" t="s">
        <v>100</v>
      </c>
      <c r="BS309" t="s">
        <v>5000</v>
      </c>
      <c r="BT309" t="str">
        <f>HYPERLINK("https%3A%2F%2Fwww.webofscience.com%2Fwos%2Fwoscc%2Ffull-record%2FWOS:000239121300002","View Full Record in Web of Science")</f>
        <v>View Full Record in Web of Science</v>
      </c>
    </row>
    <row r="310" spans="1:72" x14ac:dyDescent="0.15">
      <c r="A310" t="s">
        <v>72</v>
      </c>
      <c r="B310" t="s">
        <v>5001</v>
      </c>
      <c r="C310" t="s">
        <v>74</v>
      </c>
      <c r="D310" t="s">
        <v>74</v>
      </c>
      <c r="E310" t="s">
        <v>74</v>
      </c>
      <c r="F310" t="s">
        <v>5002</v>
      </c>
      <c r="G310" t="s">
        <v>74</v>
      </c>
      <c r="H310" t="s">
        <v>74</v>
      </c>
      <c r="I310" t="s">
        <v>5003</v>
      </c>
      <c r="J310" t="s">
        <v>5004</v>
      </c>
      <c r="K310" t="s">
        <v>74</v>
      </c>
      <c r="L310" t="s">
        <v>74</v>
      </c>
      <c r="M310" t="s">
        <v>78</v>
      </c>
      <c r="N310" t="s">
        <v>511</v>
      </c>
      <c r="O310" t="s">
        <v>74</v>
      </c>
      <c r="P310" t="s">
        <v>74</v>
      </c>
      <c r="Q310" t="s">
        <v>74</v>
      </c>
      <c r="R310" t="s">
        <v>74</v>
      </c>
      <c r="S310" t="s">
        <v>74</v>
      </c>
      <c r="T310" t="s">
        <v>5005</v>
      </c>
      <c r="U310" t="s">
        <v>5006</v>
      </c>
      <c r="V310" t="s">
        <v>5007</v>
      </c>
      <c r="W310" t="s">
        <v>5008</v>
      </c>
      <c r="X310" t="s">
        <v>5009</v>
      </c>
      <c r="Y310" t="s">
        <v>5010</v>
      </c>
      <c r="Z310" t="s">
        <v>5011</v>
      </c>
      <c r="AA310" t="s">
        <v>5012</v>
      </c>
      <c r="AB310" t="s">
        <v>5013</v>
      </c>
      <c r="AC310" t="s">
        <v>74</v>
      </c>
      <c r="AD310" t="s">
        <v>74</v>
      </c>
      <c r="AE310" t="s">
        <v>74</v>
      </c>
      <c r="AF310" t="s">
        <v>74</v>
      </c>
      <c r="AG310">
        <v>52</v>
      </c>
      <c r="AH310">
        <v>222</v>
      </c>
      <c r="AI310">
        <v>252</v>
      </c>
      <c r="AJ310">
        <v>6</v>
      </c>
      <c r="AK310">
        <v>143</v>
      </c>
      <c r="AL310" t="s">
        <v>5014</v>
      </c>
      <c r="AM310" t="s">
        <v>5015</v>
      </c>
      <c r="AN310" t="s">
        <v>5016</v>
      </c>
      <c r="AO310" t="s">
        <v>5017</v>
      </c>
      <c r="AP310" t="s">
        <v>74</v>
      </c>
      <c r="AQ310" t="s">
        <v>74</v>
      </c>
      <c r="AR310" t="s">
        <v>5004</v>
      </c>
      <c r="AS310" t="s">
        <v>5018</v>
      </c>
      <c r="AT310" t="s">
        <v>4479</v>
      </c>
      <c r="AU310">
        <v>2006</v>
      </c>
      <c r="AV310">
        <v>10</v>
      </c>
      <c r="AW310">
        <v>3</v>
      </c>
      <c r="AX310" t="s">
        <v>74</v>
      </c>
      <c r="AY310" t="s">
        <v>74</v>
      </c>
      <c r="AZ310" t="s">
        <v>74</v>
      </c>
      <c r="BA310" t="s">
        <v>74</v>
      </c>
      <c r="BB310">
        <v>171</v>
      </c>
      <c r="BC310">
        <v>179</v>
      </c>
      <c r="BD310" t="s">
        <v>74</v>
      </c>
      <c r="BE310" t="s">
        <v>5019</v>
      </c>
      <c r="BF310" t="str">
        <f>HYPERLINK("http://dx.doi.org/10.1007/s00792-005-0498-4","http://dx.doi.org/10.1007/s00792-005-0498-4")</f>
        <v>http://dx.doi.org/10.1007/s00792-005-0498-4</v>
      </c>
      <c r="BG310" t="s">
        <v>74</v>
      </c>
      <c r="BH310" t="s">
        <v>74</v>
      </c>
      <c r="BI310">
        <v>9</v>
      </c>
      <c r="BJ310" t="s">
        <v>5020</v>
      </c>
      <c r="BK310" t="s">
        <v>97</v>
      </c>
      <c r="BL310" t="s">
        <v>5020</v>
      </c>
      <c r="BM310" t="s">
        <v>5021</v>
      </c>
      <c r="BN310">
        <v>16514512</v>
      </c>
      <c r="BO310" t="s">
        <v>74</v>
      </c>
      <c r="BP310" t="s">
        <v>74</v>
      </c>
      <c r="BQ310" t="s">
        <v>74</v>
      </c>
      <c r="BR310" t="s">
        <v>100</v>
      </c>
      <c r="BS310" t="s">
        <v>5022</v>
      </c>
      <c r="BT310" t="str">
        <f>HYPERLINK("https%3A%2F%2Fwww.webofscience.com%2Fwos%2Fwoscc%2Ffull-record%2FWOS:000238776100001","View Full Record in Web of Science")</f>
        <v>View Full Record in Web of Science</v>
      </c>
    </row>
    <row r="311" spans="1:72" x14ac:dyDescent="0.15">
      <c r="A311" t="s">
        <v>72</v>
      </c>
      <c r="B311" t="s">
        <v>5023</v>
      </c>
      <c r="C311" t="s">
        <v>74</v>
      </c>
      <c r="D311" t="s">
        <v>74</v>
      </c>
      <c r="E311" t="s">
        <v>74</v>
      </c>
      <c r="F311" t="s">
        <v>5024</v>
      </c>
      <c r="G311" t="s">
        <v>74</v>
      </c>
      <c r="H311" t="s">
        <v>74</v>
      </c>
      <c r="I311" t="s">
        <v>5025</v>
      </c>
      <c r="J311" t="s">
        <v>5026</v>
      </c>
      <c r="K311" t="s">
        <v>74</v>
      </c>
      <c r="L311" t="s">
        <v>74</v>
      </c>
      <c r="M311" t="s">
        <v>78</v>
      </c>
      <c r="N311" t="s">
        <v>552</v>
      </c>
      <c r="O311" t="s">
        <v>74</v>
      </c>
      <c r="P311" t="s">
        <v>74</v>
      </c>
      <c r="Q311" t="s">
        <v>74</v>
      </c>
      <c r="R311" t="s">
        <v>74</v>
      </c>
      <c r="S311" t="s">
        <v>74</v>
      </c>
      <c r="T311" t="s">
        <v>74</v>
      </c>
      <c r="U311" t="s">
        <v>5027</v>
      </c>
      <c r="V311" t="s">
        <v>74</v>
      </c>
      <c r="W311" t="s">
        <v>5028</v>
      </c>
      <c r="X311" t="s">
        <v>407</v>
      </c>
      <c r="Y311" t="s">
        <v>5029</v>
      </c>
      <c r="Z311" t="s">
        <v>5030</v>
      </c>
      <c r="AA311" t="s">
        <v>5031</v>
      </c>
      <c r="AB311" t="s">
        <v>5032</v>
      </c>
      <c r="AC311" t="s">
        <v>74</v>
      </c>
      <c r="AD311" t="s">
        <v>74</v>
      </c>
      <c r="AE311" t="s">
        <v>74</v>
      </c>
      <c r="AF311" t="s">
        <v>74</v>
      </c>
      <c r="AG311">
        <v>21</v>
      </c>
      <c r="AH311">
        <v>10</v>
      </c>
      <c r="AI311">
        <v>10</v>
      </c>
      <c r="AJ311">
        <v>1</v>
      </c>
      <c r="AK311">
        <v>16</v>
      </c>
      <c r="AL311" t="s">
        <v>519</v>
      </c>
      <c r="AM311" t="s">
        <v>520</v>
      </c>
      <c r="AN311" t="s">
        <v>521</v>
      </c>
      <c r="AO311" t="s">
        <v>5033</v>
      </c>
      <c r="AP311" t="s">
        <v>5034</v>
      </c>
      <c r="AQ311" t="s">
        <v>74</v>
      </c>
      <c r="AR311" t="s">
        <v>5035</v>
      </c>
      <c r="AS311" t="s">
        <v>5036</v>
      </c>
      <c r="AT311" t="s">
        <v>4479</v>
      </c>
      <c r="AU311">
        <v>2006</v>
      </c>
      <c r="AV311">
        <v>79</v>
      </c>
      <c r="AW311" t="s">
        <v>765</v>
      </c>
      <c r="AX311" t="s">
        <v>74</v>
      </c>
      <c r="AY311" t="s">
        <v>74</v>
      </c>
      <c r="AZ311" t="s">
        <v>74</v>
      </c>
      <c r="BA311" t="s">
        <v>74</v>
      </c>
      <c r="BB311">
        <v>13</v>
      </c>
      <c r="BC311">
        <v>15</v>
      </c>
      <c r="BD311" t="s">
        <v>74</v>
      </c>
      <c r="BE311" t="s">
        <v>5037</v>
      </c>
      <c r="BF311" t="str">
        <f>HYPERLINK("http://dx.doi.org/10.1016/j.fishres.2006.02.008","http://dx.doi.org/10.1016/j.fishres.2006.02.008")</f>
        <v>http://dx.doi.org/10.1016/j.fishres.2006.02.008</v>
      </c>
      <c r="BG311" t="s">
        <v>74</v>
      </c>
      <c r="BH311" t="s">
        <v>74</v>
      </c>
      <c r="BI311">
        <v>3</v>
      </c>
      <c r="BJ311" t="s">
        <v>123</v>
      </c>
      <c r="BK311" t="s">
        <v>97</v>
      </c>
      <c r="BL311" t="s">
        <v>123</v>
      </c>
      <c r="BM311" t="s">
        <v>5038</v>
      </c>
      <c r="BN311" t="s">
        <v>74</v>
      </c>
      <c r="BO311" t="s">
        <v>74</v>
      </c>
      <c r="BP311" t="s">
        <v>74</v>
      </c>
      <c r="BQ311" t="s">
        <v>74</v>
      </c>
      <c r="BR311" t="s">
        <v>100</v>
      </c>
      <c r="BS311" t="s">
        <v>5039</v>
      </c>
      <c r="BT311" t="str">
        <f>HYPERLINK("https%3A%2F%2Fwww.webofscience.com%2Fwos%2Fwoscc%2Ffull-record%2FWOS:000238401700002","View Full Record in Web of Science")</f>
        <v>View Full Record in Web of Science</v>
      </c>
    </row>
    <row r="312" spans="1:72" x14ac:dyDescent="0.15">
      <c r="A312" t="s">
        <v>72</v>
      </c>
      <c r="B312" t="s">
        <v>5040</v>
      </c>
      <c r="C312" t="s">
        <v>74</v>
      </c>
      <c r="D312" t="s">
        <v>74</v>
      </c>
      <c r="E312" t="s">
        <v>74</v>
      </c>
      <c r="F312" t="s">
        <v>5041</v>
      </c>
      <c r="G312" t="s">
        <v>74</v>
      </c>
      <c r="H312" t="s">
        <v>74</v>
      </c>
      <c r="I312" t="s">
        <v>5042</v>
      </c>
      <c r="J312" t="s">
        <v>5026</v>
      </c>
      <c r="K312" t="s">
        <v>74</v>
      </c>
      <c r="L312" t="s">
        <v>74</v>
      </c>
      <c r="M312" t="s">
        <v>78</v>
      </c>
      <c r="N312" t="s">
        <v>1226</v>
      </c>
      <c r="O312" t="s">
        <v>5043</v>
      </c>
      <c r="P312" t="s">
        <v>5044</v>
      </c>
      <c r="Q312" t="s">
        <v>5045</v>
      </c>
      <c r="R312" t="s">
        <v>74</v>
      </c>
      <c r="S312" t="s">
        <v>74</v>
      </c>
      <c r="T312" t="s">
        <v>5046</v>
      </c>
      <c r="U312" t="s">
        <v>5047</v>
      </c>
      <c r="V312" t="s">
        <v>5048</v>
      </c>
      <c r="W312" t="s">
        <v>5049</v>
      </c>
      <c r="X312" t="s">
        <v>5050</v>
      </c>
      <c r="Y312" t="s">
        <v>5051</v>
      </c>
      <c r="Z312" t="s">
        <v>5052</v>
      </c>
      <c r="AA312" t="s">
        <v>74</v>
      </c>
      <c r="AB312" t="s">
        <v>5053</v>
      </c>
      <c r="AC312" t="s">
        <v>2531</v>
      </c>
      <c r="AD312" t="s">
        <v>413</v>
      </c>
      <c r="AE312" t="s">
        <v>74</v>
      </c>
      <c r="AF312" t="s">
        <v>74</v>
      </c>
      <c r="AG312">
        <v>28</v>
      </c>
      <c r="AH312">
        <v>67</v>
      </c>
      <c r="AI312">
        <v>105</v>
      </c>
      <c r="AJ312">
        <v>0</v>
      </c>
      <c r="AK312">
        <v>35</v>
      </c>
      <c r="AL312" t="s">
        <v>1261</v>
      </c>
      <c r="AM312" t="s">
        <v>520</v>
      </c>
      <c r="AN312" t="s">
        <v>1262</v>
      </c>
      <c r="AO312" t="s">
        <v>5033</v>
      </c>
      <c r="AP312" t="s">
        <v>5034</v>
      </c>
      <c r="AQ312" t="s">
        <v>74</v>
      </c>
      <c r="AR312" t="s">
        <v>5035</v>
      </c>
      <c r="AS312" t="s">
        <v>5036</v>
      </c>
      <c r="AT312" t="s">
        <v>4479</v>
      </c>
      <c r="AU312">
        <v>2006</v>
      </c>
      <c r="AV312">
        <v>79</v>
      </c>
      <c r="AW312" t="s">
        <v>765</v>
      </c>
      <c r="AX312" t="s">
        <v>74</v>
      </c>
      <c r="AY312" t="s">
        <v>74</v>
      </c>
      <c r="AZ312" t="s">
        <v>74</v>
      </c>
      <c r="BA312" t="s">
        <v>74</v>
      </c>
      <c r="BB312">
        <v>56</v>
      </c>
      <c r="BC312">
        <v>63</v>
      </c>
      <c r="BD312" t="s">
        <v>74</v>
      </c>
      <c r="BE312" t="s">
        <v>5054</v>
      </c>
      <c r="BF312" t="str">
        <f>HYPERLINK("http://dx.doi.org/10.1016/j.fishres.2006.02.017","http://dx.doi.org/10.1016/j.fishres.2006.02.017")</f>
        <v>http://dx.doi.org/10.1016/j.fishres.2006.02.017</v>
      </c>
      <c r="BG312" t="s">
        <v>74</v>
      </c>
      <c r="BH312" t="s">
        <v>74</v>
      </c>
      <c r="BI312">
        <v>8</v>
      </c>
      <c r="BJ312" t="s">
        <v>123</v>
      </c>
      <c r="BK312" t="s">
        <v>668</v>
      </c>
      <c r="BL312" t="s">
        <v>123</v>
      </c>
      <c r="BM312" t="s">
        <v>5038</v>
      </c>
      <c r="BN312" t="s">
        <v>74</v>
      </c>
      <c r="BO312" t="s">
        <v>74</v>
      </c>
      <c r="BP312" t="s">
        <v>74</v>
      </c>
      <c r="BQ312" t="s">
        <v>74</v>
      </c>
      <c r="BR312" t="s">
        <v>100</v>
      </c>
      <c r="BS312" t="s">
        <v>5055</v>
      </c>
      <c r="BT312" t="str">
        <f>HYPERLINK("https%3A%2F%2Fwww.webofscience.com%2Fwos%2Fwoscc%2Ffull-record%2FWOS:000238401700007","View Full Record in Web of Science")</f>
        <v>View Full Record in Web of Science</v>
      </c>
    </row>
    <row r="313" spans="1:72" x14ac:dyDescent="0.15">
      <c r="A313" t="s">
        <v>72</v>
      </c>
      <c r="B313" t="s">
        <v>5056</v>
      </c>
      <c r="C313" t="s">
        <v>74</v>
      </c>
      <c r="D313" t="s">
        <v>74</v>
      </c>
      <c r="E313" t="s">
        <v>74</v>
      </c>
      <c r="F313" t="s">
        <v>5057</v>
      </c>
      <c r="G313" t="s">
        <v>74</v>
      </c>
      <c r="H313" t="s">
        <v>74</v>
      </c>
      <c r="I313" t="s">
        <v>5058</v>
      </c>
      <c r="J313" t="s">
        <v>5059</v>
      </c>
      <c r="K313" t="s">
        <v>74</v>
      </c>
      <c r="L313" t="s">
        <v>74</v>
      </c>
      <c r="M313" t="s">
        <v>78</v>
      </c>
      <c r="N313" t="s">
        <v>79</v>
      </c>
      <c r="O313" t="s">
        <v>74</v>
      </c>
      <c r="P313" t="s">
        <v>74</v>
      </c>
      <c r="Q313" t="s">
        <v>74</v>
      </c>
      <c r="R313" t="s">
        <v>74</v>
      </c>
      <c r="S313" t="s">
        <v>74</v>
      </c>
      <c r="T313" t="s">
        <v>5060</v>
      </c>
      <c r="U313" t="s">
        <v>5061</v>
      </c>
      <c r="V313" t="s">
        <v>5062</v>
      </c>
      <c r="W313" t="s">
        <v>5063</v>
      </c>
      <c r="X313" t="s">
        <v>5064</v>
      </c>
      <c r="Y313" t="s">
        <v>5065</v>
      </c>
      <c r="Z313" t="s">
        <v>5066</v>
      </c>
      <c r="AA313" t="s">
        <v>74</v>
      </c>
      <c r="AB313" t="s">
        <v>74</v>
      </c>
      <c r="AC313" t="s">
        <v>74</v>
      </c>
      <c r="AD313" t="s">
        <v>74</v>
      </c>
      <c r="AE313" t="s">
        <v>74</v>
      </c>
      <c r="AF313" t="s">
        <v>74</v>
      </c>
      <c r="AG313">
        <v>49</v>
      </c>
      <c r="AH313">
        <v>17</v>
      </c>
      <c r="AI313">
        <v>21</v>
      </c>
      <c r="AJ313">
        <v>0</v>
      </c>
      <c r="AK313">
        <v>24</v>
      </c>
      <c r="AL313" t="s">
        <v>115</v>
      </c>
      <c r="AM313" t="s">
        <v>116</v>
      </c>
      <c r="AN313" t="s">
        <v>117</v>
      </c>
      <c r="AO313" t="s">
        <v>5067</v>
      </c>
      <c r="AP313" t="s">
        <v>5068</v>
      </c>
      <c r="AQ313" t="s">
        <v>74</v>
      </c>
      <c r="AR313" t="s">
        <v>5069</v>
      </c>
      <c r="AS313" t="s">
        <v>5070</v>
      </c>
      <c r="AT313" t="s">
        <v>4479</v>
      </c>
      <c r="AU313">
        <v>2006</v>
      </c>
      <c r="AV313">
        <v>51</v>
      </c>
      <c r="AW313">
        <v>6</v>
      </c>
      <c r="AX313" t="s">
        <v>74</v>
      </c>
      <c r="AY313" t="s">
        <v>74</v>
      </c>
      <c r="AZ313" t="s">
        <v>74</v>
      </c>
      <c r="BA313" t="s">
        <v>74</v>
      </c>
      <c r="BB313">
        <v>1116</v>
      </c>
      <c r="BC313">
        <v>1130</v>
      </c>
      <c r="BD313" t="s">
        <v>74</v>
      </c>
      <c r="BE313" t="s">
        <v>5071</v>
      </c>
      <c r="BF313" t="str">
        <f>HYPERLINK("http://dx.doi.org/10.1111/j.1365-2427.2006.01560.x","http://dx.doi.org/10.1111/j.1365-2427.2006.01560.x")</f>
        <v>http://dx.doi.org/10.1111/j.1365-2427.2006.01560.x</v>
      </c>
      <c r="BG313" t="s">
        <v>74</v>
      </c>
      <c r="BH313" t="s">
        <v>74</v>
      </c>
      <c r="BI313">
        <v>15</v>
      </c>
      <c r="BJ313" t="s">
        <v>2483</v>
      </c>
      <c r="BK313" t="s">
        <v>97</v>
      </c>
      <c r="BL313" t="s">
        <v>1288</v>
      </c>
      <c r="BM313" t="s">
        <v>5072</v>
      </c>
      <c r="BN313" t="s">
        <v>74</v>
      </c>
      <c r="BO313" t="s">
        <v>74</v>
      </c>
      <c r="BP313" t="s">
        <v>74</v>
      </c>
      <c r="BQ313" t="s">
        <v>74</v>
      </c>
      <c r="BR313" t="s">
        <v>100</v>
      </c>
      <c r="BS313" t="s">
        <v>5073</v>
      </c>
      <c r="BT313" t="str">
        <f>HYPERLINK("https%3A%2F%2Fwww.webofscience.com%2Fwos%2Fwoscc%2Ffull-record%2FWOS:000237692800011","View Full Record in Web of Science")</f>
        <v>View Full Record in Web of Science</v>
      </c>
    </row>
    <row r="314" spans="1:72" x14ac:dyDescent="0.15">
      <c r="A314" t="s">
        <v>72</v>
      </c>
      <c r="B314" t="s">
        <v>5074</v>
      </c>
      <c r="C314" t="s">
        <v>74</v>
      </c>
      <c r="D314" t="s">
        <v>74</v>
      </c>
      <c r="E314" t="s">
        <v>74</v>
      </c>
      <c r="F314" t="s">
        <v>5075</v>
      </c>
      <c r="G314" t="s">
        <v>74</v>
      </c>
      <c r="H314" t="s">
        <v>74</v>
      </c>
      <c r="I314" t="s">
        <v>5076</v>
      </c>
      <c r="J314" t="s">
        <v>5077</v>
      </c>
      <c r="K314" t="s">
        <v>74</v>
      </c>
      <c r="L314" t="s">
        <v>74</v>
      </c>
      <c r="M314" t="s">
        <v>78</v>
      </c>
      <c r="N314" t="s">
        <v>5078</v>
      </c>
      <c r="O314" t="s">
        <v>74</v>
      </c>
      <c r="P314" t="s">
        <v>74</v>
      </c>
      <c r="Q314" t="s">
        <v>74</v>
      </c>
      <c r="R314" t="s">
        <v>74</v>
      </c>
      <c r="S314" t="s">
        <v>74</v>
      </c>
      <c r="T314" t="s">
        <v>74</v>
      </c>
      <c r="U314" t="s">
        <v>74</v>
      </c>
      <c r="V314" t="s">
        <v>74</v>
      </c>
      <c r="W314" t="s">
        <v>5079</v>
      </c>
      <c r="X314" t="s">
        <v>4630</v>
      </c>
      <c r="Y314" t="s">
        <v>5080</v>
      </c>
      <c r="Z314" t="s">
        <v>5081</v>
      </c>
      <c r="AA314" t="s">
        <v>5082</v>
      </c>
      <c r="AB314" t="s">
        <v>5083</v>
      </c>
      <c r="AC314" t="s">
        <v>74</v>
      </c>
      <c r="AD314" t="s">
        <v>74</v>
      </c>
      <c r="AE314" t="s">
        <v>74</v>
      </c>
      <c r="AF314" t="s">
        <v>74</v>
      </c>
      <c r="AG314">
        <v>2</v>
      </c>
      <c r="AH314">
        <v>0</v>
      </c>
      <c r="AI314">
        <v>0</v>
      </c>
      <c r="AJ314">
        <v>0</v>
      </c>
      <c r="AK314">
        <v>8</v>
      </c>
      <c r="AL314" t="s">
        <v>542</v>
      </c>
      <c r="AM314" t="s">
        <v>88</v>
      </c>
      <c r="AN314" t="s">
        <v>5084</v>
      </c>
      <c r="AO314" t="s">
        <v>5085</v>
      </c>
      <c r="AP314" t="s">
        <v>74</v>
      </c>
      <c r="AQ314" t="s">
        <v>74</v>
      </c>
      <c r="AR314" t="s">
        <v>5086</v>
      </c>
      <c r="AS314" t="s">
        <v>5087</v>
      </c>
      <c r="AT314" t="s">
        <v>4479</v>
      </c>
      <c r="AU314">
        <v>2006</v>
      </c>
      <c r="AV314">
        <v>4</v>
      </c>
      <c r="AW314">
        <v>5</v>
      </c>
      <c r="AX314" t="s">
        <v>74</v>
      </c>
      <c r="AY314" t="s">
        <v>74</v>
      </c>
      <c r="AZ314" t="s">
        <v>74</v>
      </c>
      <c r="BA314" t="s">
        <v>74</v>
      </c>
      <c r="BB314">
        <v>237</v>
      </c>
      <c r="BC314">
        <v>237</v>
      </c>
      <c r="BD314" t="s">
        <v>74</v>
      </c>
      <c r="BE314" t="s">
        <v>74</v>
      </c>
      <c r="BF314" t="s">
        <v>74</v>
      </c>
      <c r="BG314" t="s">
        <v>74</v>
      </c>
      <c r="BH314" t="s">
        <v>74</v>
      </c>
      <c r="BI314">
        <v>1</v>
      </c>
      <c r="BJ314" t="s">
        <v>3603</v>
      </c>
      <c r="BK314" t="s">
        <v>97</v>
      </c>
      <c r="BL314" t="s">
        <v>420</v>
      </c>
      <c r="BM314" t="s">
        <v>5088</v>
      </c>
      <c r="BN314" t="s">
        <v>74</v>
      </c>
      <c r="BO314" t="s">
        <v>74</v>
      </c>
      <c r="BP314" t="s">
        <v>74</v>
      </c>
      <c r="BQ314" t="s">
        <v>74</v>
      </c>
      <c r="BR314" t="s">
        <v>100</v>
      </c>
      <c r="BS314" t="s">
        <v>5089</v>
      </c>
      <c r="BT314" t="str">
        <f>HYPERLINK("https%3A%2F%2Fwww.webofscience.com%2Fwos%2Fwoscc%2Ffull-record%2FWOS:000238085500017","View Full Record in Web of Science")</f>
        <v>View Full Record in Web of Science</v>
      </c>
    </row>
    <row r="315" spans="1:72" x14ac:dyDescent="0.15">
      <c r="A315" t="s">
        <v>72</v>
      </c>
      <c r="B315" t="s">
        <v>5090</v>
      </c>
      <c r="C315" t="s">
        <v>74</v>
      </c>
      <c r="D315" t="s">
        <v>74</v>
      </c>
      <c r="E315" t="s">
        <v>74</v>
      </c>
      <c r="F315" t="s">
        <v>5091</v>
      </c>
      <c r="G315" t="s">
        <v>74</v>
      </c>
      <c r="H315" t="s">
        <v>74</v>
      </c>
      <c r="I315" t="s">
        <v>5092</v>
      </c>
      <c r="J315" t="s">
        <v>5077</v>
      </c>
      <c r="K315" t="s">
        <v>74</v>
      </c>
      <c r="L315" t="s">
        <v>74</v>
      </c>
      <c r="M315" t="s">
        <v>78</v>
      </c>
      <c r="N315" t="s">
        <v>371</v>
      </c>
      <c r="O315" t="s">
        <v>74</v>
      </c>
      <c r="P315" t="s">
        <v>74</v>
      </c>
      <c r="Q315" t="s">
        <v>74</v>
      </c>
      <c r="R315" t="s">
        <v>74</v>
      </c>
      <c r="S315" t="s">
        <v>74</v>
      </c>
      <c r="T315" t="s">
        <v>74</v>
      </c>
      <c r="U315" t="s">
        <v>74</v>
      </c>
      <c r="V315" t="s">
        <v>74</v>
      </c>
      <c r="W315" t="s">
        <v>5079</v>
      </c>
      <c r="X315" t="s">
        <v>4630</v>
      </c>
      <c r="Y315" t="s">
        <v>5093</v>
      </c>
      <c r="Z315" t="s">
        <v>74</v>
      </c>
      <c r="AA315" t="s">
        <v>5094</v>
      </c>
      <c r="AB315" t="s">
        <v>74</v>
      </c>
      <c r="AC315" t="s">
        <v>74</v>
      </c>
      <c r="AD315" t="s">
        <v>74</v>
      </c>
      <c r="AE315" t="s">
        <v>74</v>
      </c>
      <c r="AF315" t="s">
        <v>74</v>
      </c>
      <c r="AG315">
        <v>1</v>
      </c>
      <c r="AH315">
        <v>1</v>
      </c>
      <c r="AI315">
        <v>1</v>
      </c>
      <c r="AJ315">
        <v>0</v>
      </c>
      <c r="AK315">
        <v>27</v>
      </c>
      <c r="AL315" t="s">
        <v>542</v>
      </c>
      <c r="AM315" t="s">
        <v>88</v>
      </c>
      <c r="AN315" t="s">
        <v>5084</v>
      </c>
      <c r="AO315" t="s">
        <v>5085</v>
      </c>
      <c r="AP315" t="s">
        <v>74</v>
      </c>
      <c r="AQ315" t="s">
        <v>74</v>
      </c>
      <c r="AR315" t="s">
        <v>5086</v>
      </c>
      <c r="AS315" t="s">
        <v>5087</v>
      </c>
      <c r="AT315" t="s">
        <v>4479</v>
      </c>
      <c r="AU315">
        <v>2006</v>
      </c>
      <c r="AV315">
        <v>4</v>
      </c>
      <c r="AW315">
        <v>5</v>
      </c>
      <c r="AX315" t="s">
        <v>74</v>
      </c>
      <c r="AY315" t="s">
        <v>74</v>
      </c>
      <c r="AZ315" t="s">
        <v>74</v>
      </c>
      <c r="BA315" t="s">
        <v>74</v>
      </c>
      <c r="BB315">
        <v>237</v>
      </c>
      <c r="BC315">
        <v>237</v>
      </c>
      <c r="BD315" t="s">
        <v>74</v>
      </c>
      <c r="BE315" t="s">
        <v>74</v>
      </c>
      <c r="BF315" t="s">
        <v>74</v>
      </c>
      <c r="BG315" t="s">
        <v>74</v>
      </c>
      <c r="BH315" t="s">
        <v>74</v>
      </c>
      <c r="BI315">
        <v>1</v>
      </c>
      <c r="BJ315" t="s">
        <v>3603</v>
      </c>
      <c r="BK315" t="s">
        <v>97</v>
      </c>
      <c r="BL315" t="s">
        <v>420</v>
      </c>
      <c r="BM315" t="s">
        <v>5088</v>
      </c>
      <c r="BN315" t="s">
        <v>74</v>
      </c>
      <c r="BO315" t="s">
        <v>74</v>
      </c>
      <c r="BP315" t="s">
        <v>74</v>
      </c>
      <c r="BQ315" t="s">
        <v>74</v>
      </c>
      <c r="BR315" t="s">
        <v>100</v>
      </c>
      <c r="BS315" t="s">
        <v>5095</v>
      </c>
      <c r="BT315" t="str">
        <f>HYPERLINK("https%3A%2F%2Fwww.webofscience.com%2Fwos%2Fwoscc%2Ffull-record%2FWOS:000238085500018","View Full Record in Web of Science")</f>
        <v>View Full Record in Web of Science</v>
      </c>
    </row>
    <row r="316" spans="1:72" x14ac:dyDescent="0.15">
      <c r="A316" t="s">
        <v>72</v>
      </c>
      <c r="B316" t="s">
        <v>5096</v>
      </c>
      <c r="C316" t="s">
        <v>74</v>
      </c>
      <c r="D316" t="s">
        <v>74</v>
      </c>
      <c r="E316" t="s">
        <v>74</v>
      </c>
      <c r="F316" t="s">
        <v>5097</v>
      </c>
      <c r="G316" t="s">
        <v>74</v>
      </c>
      <c r="H316" t="s">
        <v>74</v>
      </c>
      <c r="I316" t="s">
        <v>5098</v>
      </c>
      <c r="J316" t="s">
        <v>614</v>
      </c>
      <c r="K316" t="s">
        <v>74</v>
      </c>
      <c r="L316" t="s">
        <v>74</v>
      </c>
      <c r="M316" t="s">
        <v>78</v>
      </c>
      <c r="N316" t="s">
        <v>511</v>
      </c>
      <c r="O316" t="s">
        <v>74</v>
      </c>
      <c r="P316" t="s">
        <v>74</v>
      </c>
      <c r="Q316" t="s">
        <v>74</v>
      </c>
      <c r="R316" t="s">
        <v>74</v>
      </c>
      <c r="S316" t="s">
        <v>74</v>
      </c>
      <c r="T316" t="s">
        <v>74</v>
      </c>
      <c r="U316" t="s">
        <v>5099</v>
      </c>
      <c r="V316" t="s">
        <v>5100</v>
      </c>
      <c r="W316" t="s">
        <v>5101</v>
      </c>
      <c r="X316" t="s">
        <v>5102</v>
      </c>
      <c r="Y316" t="s">
        <v>5103</v>
      </c>
      <c r="Z316" t="s">
        <v>5104</v>
      </c>
      <c r="AA316" t="s">
        <v>5105</v>
      </c>
      <c r="AB316" t="s">
        <v>5106</v>
      </c>
      <c r="AC316" t="s">
        <v>74</v>
      </c>
      <c r="AD316" t="s">
        <v>74</v>
      </c>
      <c r="AE316" t="s">
        <v>74</v>
      </c>
      <c r="AF316" t="s">
        <v>74</v>
      </c>
      <c r="AG316">
        <v>115</v>
      </c>
      <c r="AH316">
        <v>198</v>
      </c>
      <c r="AI316">
        <v>220</v>
      </c>
      <c r="AJ316">
        <v>8</v>
      </c>
      <c r="AK316">
        <v>98</v>
      </c>
      <c r="AL316" t="s">
        <v>387</v>
      </c>
      <c r="AM316" t="s">
        <v>388</v>
      </c>
      <c r="AN316" t="s">
        <v>389</v>
      </c>
      <c r="AO316" t="s">
        <v>622</v>
      </c>
      <c r="AP316" t="s">
        <v>623</v>
      </c>
      <c r="AQ316" t="s">
        <v>74</v>
      </c>
      <c r="AR316" t="s">
        <v>624</v>
      </c>
      <c r="AS316" t="s">
        <v>625</v>
      </c>
      <c r="AT316" t="s">
        <v>5107</v>
      </c>
      <c r="AU316">
        <v>2006</v>
      </c>
      <c r="AV316">
        <v>70</v>
      </c>
      <c r="AW316">
        <v>11</v>
      </c>
      <c r="AX316" t="s">
        <v>74</v>
      </c>
      <c r="AY316" t="s">
        <v>74</v>
      </c>
      <c r="AZ316" t="s">
        <v>74</v>
      </c>
      <c r="BA316" t="s">
        <v>74</v>
      </c>
      <c r="BB316">
        <v>2765</v>
      </c>
      <c r="BC316">
        <v>2780</v>
      </c>
      <c r="BD316" t="s">
        <v>74</v>
      </c>
      <c r="BE316" t="s">
        <v>5108</v>
      </c>
      <c r="BF316" t="str">
        <f>HYPERLINK("http://dx.doi.org/10.1016/j.gca.2005.12.027","http://dx.doi.org/10.1016/j.gca.2005.12.027")</f>
        <v>http://dx.doi.org/10.1016/j.gca.2005.12.027</v>
      </c>
      <c r="BG316" t="s">
        <v>74</v>
      </c>
      <c r="BH316" t="s">
        <v>74</v>
      </c>
      <c r="BI316">
        <v>16</v>
      </c>
      <c r="BJ316" t="s">
        <v>608</v>
      </c>
      <c r="BK316" t="s">
        <v>97</v>
      </c>
      <c r="BL316" t="s">
        <v>608</v>
      </c>
      <c r="BM316" t="s">
        <v>5109</v>
      </c>
      <c r="BN316" t="s">
        <v>74</v>
      </c>
      <c r="BO316" t="s">
        <v>99</v>
      </c>
      <c r="BP316" t="s">
        <v>74</v>
      </c>
      <c r="BQ316" t="s">
        <v>74</v>
      </c>
      <c r="BR316" t="s">
        <v>100</v>
      </c>
      <c r="BS316" t="s">
        <v>5110</v>
      </c>
      <c r="BT316" t="str">
        <f>HYPERLINK("https%3A%2F%2Fwww.webofscience.com%2Fwos%2Fwoscc%2Ffull-record%2FWOS:000237818800008","View Full Record in Web of Science")</f>
        <v>View Full Record in Web of Science</v>
      </c>
    </row>
    <row r="317" spans="1:72" x14ac:dyDescent="0.15">
      <c r="A317" t="s">
        <v>72</v>
      </c>
      <c r="B317" t="s">
        <v>5111</v>
      </c>
      <c r="C317" t="s">
        <v>74</v>
      </c>
      <c r="D317" t="s">
        <v>74</v>
      </c>
      <c r="E317" t="s">
        <v>74</v>
      </c>
      <c r="F317" t="s">
        <v>5112</v>
      </c>
      <c r="G317" t="s">
        <v>74</v>
      </c>
      <c r="H317" t="s">
        <v>74</v>
      </c>
      <c r="I317" t="s">
        <v>5113</v>
      </c>
      <c r="J317" t="s">
        <v>733</v>
      </c>
      <c r="K317" t="s">
        <v>74</v>
      </c>
      <c r="L317" t="s">
        <v>74</v>
      </c>
      <c r="M317" t="s">
        <v>78</v>
      </c>
      <c r="N317" t="s">
        <v>79</v>
      </c>
      <c r="O317" t="s">
        <v>74</v>
      </c>
      <c r="P317" t="s">
        <v>74</v>
      </c>
      <c r="Q317" t="s">
        <v>74</v>
      </c>
      <c r="R317" t="s">
        <v>74</v>
      </c>
      <c r="S317" t="s">
        <v>74</v>
      </c>
      <c r="T317" t="s">
        <v>5114</v>
      </c>
      <c r="U317" t="s">
        <v>5115</v>
      </c>
      <c r="V317" t="s">
        <v>5116</v>
      </c>
      <c r="W317" t="s">
        <v>5117</v>
      </c>
      <c r="X317" t="s">
        <v>5118</v>
      </c>
      <c r="Y317" t="s">
        <v>5119</v>
      </c>
      <c r="Z317" t="s">
        <v>74</v>
      </c>
      <c r="AA317" t="s">
        <v>5120</v>
      </c>
      <c r="AB317" t="s">
        <v>5121</v>
      </c>
      <c r="AC317" t="s">
        <v>74</v>
      </c>
      <c r="AD317" t="s">
        <v>74</v>
      </c>
      <c r="AE317" t="s">
        <v>74</v>
      </c>
      <c r="AF317" t="s">
        <v>74</v>
      </c>
      <c r="AG317">
        <v>39</v>
      </c>
      <c r="AH317">
        <v>31</v>
      </c>
      <c r="AI317">
        <v>34</v>
      </c>
      <c r="AJ317">
        <v>0</v>
      </c>
      <c r="AK317">
        <v>16</v>
      </c>
      <c r="AL317" t="s">
        <v>742</v>
      </c>
      <c r="AM317" t="s">
        <v>161</v>
      </c>
      <c r="AN317" t="s">
        <v>743</v>
      </c>
      <c r="AO317" t="s">
        <v>744</v>
      </c>
      <c r="AP317" t="s">
        <v>745</v>
      </c>
      <c r="AQ317" t="s">
        <v>74</v>
      </c>
      <c r="AR317" t="s">
        <v>733</v>
      </c>
      <c r="AS317" t="s">
        <v>528</v>
      </c>
      <c r="AT317" t="s">
        <v>4479</v>
      </c>
      <c r="AU317">
        <v>2006</v>
      </c>
      <c r="AV317">
        <v>34</v>
      </c>
      <c r="AW317">
        <v>6</v>
      </c>
      <c r="AX317" t="s">
        <v>74</v>
      </c>
      <c r="AY317" t="s">
        <v>74</v>
      </c>
      <c r="AZ317" t="s">
        <v>74</v>
      </c>
      <c r="BA317" t="s">
        <v>74</v>
      </c>
      <c r="BB317">
        <v>497</v>
      </c>
      <c r="BC317">
        <v>500</v>
      </c>
      <c r="BD317" t="s">
        <v>74</v>
      </c>
      <c r="BE317" t="s">
        <v>5122</v>
      </c>
      <c r="BF317" t="str">
        <f>HYPERLINK("http://dx.doi.org/10.1130/G22413.1","http://dx.doi.org/10.1130/G22413.1")</f>
        <v>http://dx.doi.org/10.1130/G22413.1</v>
      </c>
      <c r="BG317" t="s">
        <v>74</v>
      </c>
      <c r="BH317" t="s">
        <v>74</v>
      </c>
      <c r="BI317">
        <v>4</v>
      </c>
      <c r="BJ317" t="s">
        <v>528</v>
      </c>
      <c r="BK317" t="s">
        <v>97</v>
      </c>
      <c r="BL317" t="s">
        <v>528</v>
      </c>
      <c r="BM317" t="s">
        <v>5123</v>
      </c>
      <c r="BN317" t="s">
        <v>74</v>
      </c>
      <c r="BO317" t="s">
        <v>74</v>
      </c>
      <c r="BP317" t="s">
        <v>74</v>
      </c>
      <c r="BQ317" t="s">
        <v>74</v>
      </c>
      <c r="BR317" t="s">
        <v>100</v>
      </c>
      <c r="BS317" t="s">
        <v>5124</v>
      </c>
      <c r="BT317" t="str">
        <f>HYPERLINK("https%3A%2F%2Fwww.webofscience.com%2Fwos%2Fwoscc%2Ffull-record%2FWOS:000238274100021","View Full Record in Web of Science")</f>
        <v>View Full Record in Web of Science</v>
      </c>
    </row>
    <row r="318" spans="1:72" x14ac:dyDescent="0.15">
      <c r="A318" t="s">
        <v>72</v>
      </c>
      <c r="B318" t="s">
        <v>5125</v>
      </c>
      <c r="C318" t="s">
        <v>74</v>
      </c>
      <c r="D318" t="s">
        <v>74</v>
      </c>
      <c r="E318" t="s">
        <v>74</v>
      </c>
      <c r="F318" t="s">
        <v>5126</v>
      </c>
      <c r="G318" t="s">
        <v>74</v>
      </c>
      <c r="H318" t="s">
        <v>74</v>
      </c>
      <c r="I318" t="s">
        <v>5127</v>
      </c>
      <c r="J318" t="s">
        <v>5128</v>
      </c>
      <c r="K318" t="s">
        <v>74</v>
      </c>
      <c r="L318" t="s">
        <v>74</v>
      </c>
      <c r="M318" t="s">
        <v>78</v>
      </c>
      <c r="N318" t="s">
        <v>79</v>
      </c>
      <c r="O318" t="s">
        <v>74</v>
      </c>
      <c r="P318" t="s">
        <v>74</v>
      </c>
      <c r="Q318" t="s">
        <v>74</v>
      </c>
      <c r="R318" t="s">
        <v>74</v>
      </c>
      <c r="S318" t="s">
        <v>74</v>
      </c>
      <c r="T318" t="s">
        <v>5129</v>
      </c>
      <c r="U318" t="s">
        <v>5130</v>
      </c>
      <c r="V318" t="s">
        <v>5131</v>
      </c>
      <c r="W318" t="s">
        <v>5132</v>
      </c>
      <c r="X318" t="s">
        <v>5133</v>
      </c>
      <c r="Y318" t="s">
        <v>5134</v>
      </c>
      <c r="Z318" t="s">
        <v>5135</v>
      </c>
      <c r="AA318" t="s">
        <v>5136</v>
      </c>
      <c r="AB318" t="s">
        <v>5137</v>
      </c>
      <c r="AC318" t="s">
        <v>74</v>
      </c>
      <c r="AD318" t="s">
        <v>74</v>
      </c>
      <c r="AE318" t="s">
        <v>74</v>
      </c>
      <c r="AF318" t="s">
        <v>74</v>
      </c>
      <c r="AG318">
        <v>33</v>
      </c>
      <c r="AH318">
        <v>34</v>
      </c>
      <c r="AI318">
        <v>37</v>
      </c>
      <c r="AJ318">
        <v>1</v>
      </c>
      <c r="AK318">
        <v>8</v>
      </c>
      <c r="AL318" t="s">
        <v>580</v>
      </c>
      <c r="AM318" t="s">
        <v>388</v>
      </c>
      <c r="AN318" t="s">
        <v>581</v>
      </c>
      <c r="AO318" t="s">
        <v>5138</v>
      </c>
      <c r="AP318" t="s">
        <v>5139</v>
      </c>
      <c r="AQ318" t="s">
        <v>74</v>
      </c>
      <c r="AR318" t="s">
        <v>5140</v>
      </c>
      <c r="AS318" t="s">
        <v>5141</v>
      </c>
      <c r="AT318" t="s">
        <v>4479</v>
      </c>
      <c r="AU318">
        <v>2006</v>
      </c>
      <c r="AV318">
        <v>165</v>
      </c>
      <c r="AW318">
        <v>3</v>
      </c>
      <c r="AX318" t="s">
        <v>74</v>
      </c>
      <c r="AY318" t="s">
        <v>74</v>
      </c>
      <c r="AZ318" t="s">
        <v>74</v>
      </c>
      <c r="BA318" t="s">
        <v>74</v>
      </c>
      <c r="BB318">
        <v>1029</v>
      </c>
      <c r="BC318">
        <v>1040</v>
      </c>
      <c r="BD318" t="s">
        <v>74</v>
      </c>
      <c r="BE318" t="s">
        <v>5142</v>
      </c>
      <c r="BF318" t="str">
        <f>HYPERLINK("http://dx.doi.org/10.1111/j.1365-246X.2006.02954.x","http://dx.doi.org/10.1111/j.1365-246X.2006.02954.x")</f>
        <v>http://dx.doi.org/10.1111/j.1365-246X.2006.02954.x</v>
      </c>
      <c r="BG318" t="s">
        <v>74</v>
      </c>
      <c r="BH318" t="s">
        <v>74</v>
      </c>
      <c r="BI318">
        <v>12</v>
      </c>
      <c r="BJ318" t="s">
        <v>608</v>
      </c>
      <c r="BK318" t="s">
        <v>97</v>
      </c>
      <c r="BL318" t="s">
        <v>608</v>
      </c>
      <c r="BM318" t="s">
        <v>5143</v>
      </c>
      <c r="BN318" t="s">
        <v>74</v>
      </c>
      <c r="BO318" t="s">
        <v>460</v>
      </c>
      <c r="BP318" t="s">
        <v>74</v>
      </c>
      <c r="BQ318" t="s">
        <v>74</v>
      </c>
      <c r="BR318" t="s">
        <v>100</v>
      </c>
      <c r="BS318" t="s">
        <v>5144</v>
      </c>
      <c r="BT318" t="str">
        <f>HYPERLINK("https%3A%2F%2Fwww.webofscience.com%2Fwos%2Fwoscc%2Ffull-record%2FWOS:000238649000024","View Full Record in Web of Science")</f>
        <v>View Full Record in Web of Science</v>
      </c>
    </row>
    <row r="319" spans="1:72" x14ac:dyDescent="0.15">
      <c r="A319" t="s">
        <v>72</v>
      </c>
      <c r="B319" t="s">
        <v>5145</v>
      </c>
      <c r="C319" t="s">
        <v>74</v>
      </c>
      <c r="D319" t="s">
        <v>74</v>
      </c>
      <c r="E319" t="s">
        <v>74</v>
      </c>
      <c r="F319" t="s">
        <v>5145</v>
      </c>
      <c r="G319" t="s">
        <v>74</v>
      </c>
      <c r="H319" t="s">
        <v>74</v>
      </c>
      <c r="I319" t="s">
        <v>5146</v>
      </c>
      <c r="J319" t="s">
        <v>5147</v>
      </c>
      <c r="K319" t="s">
        <v>74</v>
      </c>
      <c r="L319" t="s">
        <v>74</v>
      </c>
      <c r="M319" t="s">
        <v>78</v>
      </c>
      <c r="N319" t="s">
        <v>1282</v>
      </c>
      <c r="O319" t="s">
        <v>74</v>
      </c>
      <c r="P319" t="s">
        <v>74</v>
      </c>
      <c r="Q319" t="s">
        <v>74</v>
      </c>
      <c r="R319" t="s">
        <v>74</v>
      </c>
      <c r="S319" t="s">
        <v>74</v>
      </c>
      <c r="T319" t="s">
        <v>74</v>
      </c>
      <c r="U319" t="s">
        <v>74</v>
      </c>
      <c r="V319" t="s">
        <v>74</v>
      </c>
      <c r="W319" t="s">
        <v>74</v>
      </c>
      <c r="X319" t="s">
        <v>74</v>
      </c>
      <c r="Y319" t="s">
        <v>74</v>
      </c>
      <c r="Z319" t="s">
        <v>74</v>
      </c>
      <c r="AA319" t="s">
        <v>74</v>
      </c>
      <c r="AB319" t="s">
        <v>74</v>
      </c>
      <c r="AC319" t="s">
        <v>74</v>
      </c>
      <c r="AD319" t="s">
        <v>74</v>
      </c>
      <c r="AE319" t="s">
        <v>74</v>
      </c>
      <c r="AF319" t="s">
        <v>74</v>
      </c>
      <c r="AG319">
        <v>0</v>
      </c>
      <c r="AH319">
        <v>0</v>
      </c>
      <c r="AI319">
        <v>1</v>
      </c>
      <c r="AJ319">
        <v>0</v>
      </c>
      <c r="AK319">
        <v>2</v>
      </c>
      <c r="AL319" t="s">
        <v>5148</v>
      </c>
      <c r="AM319" t="s">
        <v>5149</v>
      </c>
      <c r="AN319" t="s">
        <v>5150</v>
      </c>
      <c r="AO319" t="s">
        <v>5151</v>
      </c>
      <c r="AP319" t="s">
        <v>74</v>
      </c>
      <c r="AQ319" t="s">
        <v>74</v>
      </c>
      <c r="AR319" t="s">
        <v>5147</v>
      </c>
      <c r="AS319" t="s">
        <v>5152</v>
      </c>
      <c r="AT319" t="s">
        <v>4479</v>
      </c>
      <c r="AU319">
        <v>2006</v>
      </c>
      <c r="AV319">
        <v>51</v>
      </c>
      <c r="AW319">
        <v>6</v>
      </c>
      <c r="AX319" t="s">
        <v>74</v>
      </c>
      <c r="AY319" t="s">
        <v>74</v>
      </c>
      <c r="AZ319" t="s">
        <v>74</v>
      </c>
      <c r="BA319" t="s">
        <v>74</v>
      </c>
      <c r="BB319">
        <v>10</v>
      </c>
      <c r="BC319">
        <v>11</v>
      </c>
      <c r="BD319" t="s">
        <v>74</v>
      </c>
      <c r="BE319" t="s">
        <v>74</v>
      </c>
      <c r="BF319" t="s">
        <v>74</v>
      </c>
      <c r="BG319" t="s">
        <v>74</v>
      </c>
      <c r="BH319" t="s">
        <v>74</v>
      </c>
      <c r="BI319">
        <v>2</v>
      </c>
      <c r="BJ319" t="s">
        <v>527</v>
      </c>
      <c r="BK319" t="s">
        <v>97</v>
      </c>
      <c r="BL319" t="s">
        <v>528</v>
      </c>
      <c r="BM319" t="s">
        <v>5153</v>
      </c>
      <c r="BN319" t="s">
        <v>74</v>
      </c>
      <c r="BO319" t="s">
        <v>74</v>
      </c>
      <c r="BP319" t="s">
        <v>74</v>
      </c>
      <c r="BQ319" t="s">
        <v>74</v>
      </c>
      <c r="BR319" t="s">
        <v>100</v>
      </c>
      <c r="BS319" t="s">
        <v>5154</v>
      </c>
      <c r="BT319" t="str">
        <f>HYPERLINK("https%3A%2F%2Fwww.webofscience.com%2Fwos%2Fwoscc%2Ffull-record%2FWOS:000238168100009","View Full Record in Web of Science")</f>
        <v>View Full Record in Web of Science</v>
      </c>
    </row>
    <row r="320" spans="1:72" x14ac:dyDescent="0.15">
      <c r="A320" t="s">
        <v>72</v>
      </c>
      <c r="B320" t="s">
        <v>5155</v>
      </c>
      <c r="C320" t="s">
        <v>74</v>
      </c>
      <c r="D320" t="s">
        <v>74</v>
      </c>
      <c r="E320" t="s">
        <v>74</v>
      </c>
      <c r="F320" t="s">
        <v>5156</v>
      </c>
      <c r="G320" t="s">
        <v>74</v>
      </c>
      <c r="H320" t="s">
        <v>74</v>
      </c>
      <c r="I320" t="s">
        <v>5157</v>
      </c>
      <c r="J320" t="s">
        <v>752</v>
      </c>
      <c r="K320" t="s">
        <v>74</v>
      </c>
      <c r="L320" t="s">
        <v>74</v>
      </c>
      <c r="M320" t="s">
        <v>78</v>
      </c>
      <c r="N320" t="s">
        <v>79</v>
      </c>
      <c r="O320" t="s">
        <v>74</v>
      </c>
      <c r="P320" t="s">
        <v>74</v>
      </c>
      <c r="Q320" t="s">
        <v>74</v>
      </c>
      <c r="R320" t="s">
        <v>74</v>
      </c>
      <c r="S320" t="s">
        <v>74</v>
      </c>
      <c r="T320" t="s">
        <v>5158</v>
      </c>
      <c r="U320" t="s">
        <v>5159</v>
      </c>
      <c r="V320" t="s">
        <v>5160</v>
      </c>
      <c r="W320" t="s">
        <v>5161</v>
      </c>
      <c r="X320" t="s">
        <v>5162</v>
      </c>
      <c r="Y320" t="s">
        <v>5163</v>
      </c>
      <c r="Z320" t="s">
        <v>5164</v>
      </c>
      <c r="AA320" t="s">
        <v>5165</v>
      </c>
      <c r="AB320" t="s">
        <v>74</v>
      </c>
      <c r="AC320" t="s">
        <v>74</v>
      </c>
      <c r="AD320" t="s">
        <v>74</v>
      </c>
      <c r="AE320" t="s">
        <v>74</v>
      </c>
      <c r="AF320" t="s">
        <v>74</v>
      </c>
      <c r="AG320">
        <v>79</v>
      </c>
      <c r="AH320">
        <v>33</v>
      </c>
      <c r="AI320">
        <v>35</v>
      </c>
      <c r="AJ320">
        <v>0</v>
      </c>
      <c r="AK320">
        <v>10</v>
      </c>
      <c r="AL320" t="s">
        <v>519</v>
      </c>
      <c r="AM320" t="s">
        <v>520</v>
      </c>
      <c r="AN320" t="s">
        <v>521</v>
      </c>
      <c r="AO320" t="s">
        <v>761</v>
      </c>
      <c r="AP320" t="s">
        <v>762</v>
      </c>
      <c r="AQ320" t="s">
        <v>74</v>
      </c>
      <c r="AR320" t="s">
        <v>763</v>
      </c>
      <c r="AS320" t="s">
        <v>764</v>
      </c>
      <c r="AT320" t="s">
        <v>4479</v>
      </c>
      <c r="AU320">
        <v>2006</v>
      </c>
      <c r="AV320">
        <v>9</v>
      </c>
      <c r="AW320">
        <v>4</v>
      </c>
      <c r="AX320" t="s">
        <v>74</v>
      </c>
      <c r="AY320" t="s">
        <v>74</v>
      </c>
      <c r="AZ320" t="s">
        <v>74</v>
      </c>
      <c r="BA320" t="s">
        <v>74</v>
      </c>
      <c r="BB320">
        <v>379</v>
      </c>
      <c r="BC320">
        <v>397</v>
      </c>
      <c r="BD320" t="s">
        <v>74</v>
      </c>
      <c r="BE320" t="s">
        <v>5166</v>
      </c>
      <c r="BF320" t="str">
        <f>HYPERLINK("http://dx.doi.org/10.1016/j.gr.2005.11.007","http://dx.doi.org/10.1016/j.gr.2005.11.007")</f>
        <v>http://dx.doi.org/10.1016/j.gr.2005.11.007</v>
      </c>
      <c r="BG320" t="s">
        <v>74</v>
      </c>
      <c r="BH320" t="s">
        <v>74</v>
      </c>
      <c r="BI320">
        <v>19</v>
      </c>
      <c r="BJ320" t="s">
        <v>527</v>
      </c>
      <c r="BK320" t="s">
        <v>97</v>
      </c>
      <c r="BL320" t="s">
        <v>528</v>
      </c>
      <c r="BM320" t="s">
        <v>5167</v>
      </c>
      <c r="BN320" t="s">
        <v>74</v>
      </c>
      <c r="BO320" t="s">
        <v>74</v>
      </c>
      <c r="BP320" t="s">
        <v>74</v>
      </c>
      <c r="BQ320" t="s">
        <v>74</v>
      </c>
      <c r="BR320" t="s">
        <v>100</v>
      </c>
      <c r="BS320" t="s">
        <v>5168</v>
      </c>
      <c r="BT320" t="str">
        <f>HYPERLINK("https%3A%2F%2Fwww.webofscience.com%2Fwos%2Fwoscc%2Ffull-record%2FWOS:000238416700002","View Full Record in Web of Science")</f>
        <v>View Full Record in Web of Science</v>
      </c>
    </row>
    <row r="321" spans="1:72" x14ac:dyDescent="0.15">
      <c r="A321" t="s">
        <v>72</v>
      </c>
      <c r="B321" t="s">
        <v>5169</v>
      </c>
      <c r="C321" t="s">
        <v>74</v>
      </c>
      <c r="D321" t="s">
        <v>74</v>
      </c>
      <c r="E321" t="s">
        <v>74</v>
      </c>
      <c r="F321" t="s">
        <v>5169</v>
      </c>
      <c r="G321" t="s">
        <v>74</v>
      </c>
      <c r="H321" t="s">
        <v>74</v>
      </c>
      <c r="I321" t="s">
        <v>5170</v>
      </c>
      <c r="J321" t="s">
        <v>5171</v>
      </c>
      <c r="K321" t="s">
        <v>74</v>
      </c>
      <c r="L321" t="s">
        <v>74</v>
      </c>
      <c r="M321" t="s">
        <v>78</v>
      </c>
      <c r="N321" t="s">
        <v>79</v>
      </c>
      <c r="O321" t="s">
        <v>74</v>
      </c>
      <c r="P321" t="s">
        <v>74</v>
      </c>
      <c r="Q321" t="s">
        <v>74</v>
      </c>
      <c r="R321" t="s">
        <v>74</v>
      </c>
      <c r="S321" t="s">
        <v>74</v>
      </c>
      <c r="T321" t="s">
        <v>5172</v>
      </c>
      <c r="U321" t="s">
        <v>5173</v>
      </c>
      <c r="V321" t="s">
        <v>5174</v>
      </c>
      <c r="W321" t="s">
        <v>5175</v>
      </c>
      <c r="X321" t="s">
        <v>5176</v>
      </c>
      <c r="Y321" t="s">
        <v>5177</v>
      </c>
      <c r="Z321" t="s">
        <v>5178</v>
      </c>
      <c r="AA321" t="s">
        <v>5179</v>
      </c>
      <c r="AB321" t="s">
        <v>5180</v>
      </c>
      <c r="AC321" t="s">
        <v>74</v>
      </c>
      <c r="AD321" t="s">
        <v>74</v>
      </c>
      <c r="AE321" t="s">
        <v>74</v>
      </c>
      <c r="AF321" t="s">
        <v>74</v>
      </c>
      <c r="AG321">
        <v>16</v>
      </c>
      <c r="AH321">
        <v>62</v>
      </c>
      <c r="AI321">
        <v>71</v>
      </c>
      <c r="AJ321">
        <v>0</v>
      </c>
      <c r="AK321">
        <v>10</v>
      </c>
      <c r="AL321" t="s">
        <v>5181</v>
      </c>
      <c r="AM321" t="s">
        <v>557</v>
      </c>
      <c r="AN321" t="s">
        <v>5182</v>
      </c>
      <c r="AO321" t="s">
        <v>5183</v>
      </c>
      <c r="AP321" t="s">
        <v>74</v>
      </c>
      <c r="AQ321" t="s">
        <v>74</v>
      </c>
      <c r="AR321" t="s">
        <v>5184</v>
      </c>
      <c r="AS321" t="s">
        <v>5185</v>
      </c>
      <c r="AT321" t="s">
        <v>4479</v>
      </c>
      <c r="AU321">
        <v>2006</v>
      </c>
      <c r="AV321">
        <v>63</v>
      </c>
      <c r="AW321">
        <v>5</v>
      </c>
      <c r="AX321" t="s">
        <v>74</v>
      </c>
      <c r="AY321" t="s">
        <v>74</v>
      </c>
      <c r="AZ321" t="s">
        <v>74</v>
      </c>
      <c r="BA321" t="s">
        <v>74</v>
      </c>
      <c r="BB321">
        <v>928</v>
      </c>
      <c r="BC321">
        <v>935</v>
      </c>
      <c r="BD321" t="s">
        <v>74</v>
      </c>
      <c r="BE321" t="s">
        <v>5186</v>
      </c>
      <c r="BF321" t="str">
        <f>HYPERLINK("http://dx.doi.org/10.1016/j.icesjms.2006.02.007","http://dx.doi.org/10.1016/j.icesjms.2006.02.007")</f>
        <v>http://dx.doi.org/10.1016/j.icesjms.2006.02.007</v>
      </c>
      <c r="BG321" t="s">
        <v>74</v>
      </c>
      <c r="BH321" t="s">
        <v>74</v>
      </c>
      <c r="BI321">
        <v>8</v>
      </c>
      <c r="BJ321" t="s">
        <v>5187</v>
      </c>
      <c r="BK321" t="s">
        <v>97</v>
      </c>
      <c r="BL321" t="s">
        <v>5187</v>
      </c>
      <c r="BM321" t="s">
        <v>5188</v>
      </c>
      <c r="BN321" t="s">
        <v>74</v>
      </c>
      <c r="BO321" t="s">
        <v>460</v>
      </c>
      <c r="BP321" t="s">
        <v>74</v>
      </c>
      <c r="BQ321" t="s">
        <v>74</v>
      </c>
      <c r="BR321" t="s">
        <v>100</v>
      </c>
      <c r="BS321" t="s">
        <v>5189</v>
      </c>
      <c r="BT321" t="str">
        <f>HYPERLINK("https%3A%2F%2Fwww.webofscience.com%2Fwos%2Fwoscc%2Ffull-record%2FWOS:000238483300015","View Full Record in Web of Science")</f>
        <v>View Full Record in Web of Science</v>
      </c>
    </row>
    <row r="322" spans="1:72" x14ac:dyDescent="0.15">
      <c r="A322" t="s">
        <v>72</v>
      </c>
      <c r="B322" t="s">
        <v>5190</v>
      </c>
      <c r="C322" t="s">
        <v>74</v>
      </c>
      <c r="D322" t="s">
        <v>74</v>
      </c>
      <c r="E322" t="s">
        <v>74</v>
      </c>
      <c r="F322" t="s">
        <v>5191</v>
      </c>
      <c r="G322" t="s">
        <v>74</v>
      </c>
      <c r="H322" t="s">
        <v>74</v>
      </c>
      <c r="I322" t="s">
        <v>5192</v>
      </c>
      <c r="J322" t="s">
        <v>5193</v>
      </c>
      <c r="K322" t="s">
        <v>74</v>
      </c>
      <c r="L322" t="s">
        <v>74</v>
      </c>
      <c r="M322" t="s">
        <v>78</v>
      </c>
      <c r="N322" t="s">
        <v>3727</v>
      </c>
      <c r="O322" t="s">
        <v>74</v>
      </c>
      <c r="P322" t="s">
        <v>74</v>
      </c>
      <c r="Q322" t="s">
        <v>74</v>
      </c>
      <c r="R322" t="s">
        <v>74</v>
      </c>
      <c r="S322" t="s">
        <v>74</v>
      </c>
      <c r="T322" t="s">
        <v>74</v>
      </c>
      <c r="U322" t="s">
        <v>74</v>
      </c>
      <c r="V322" t="s">
        <v>74</v>
      </c>
      <c r="W322" t="s">
        <v>74</v>
      </c>
      <c r="X322" t="s">
        <v>74</v>
      </c>
      <c r="Y322" t="s">
        <v>74</v>
      </c>
      <c r="Z322" t="s">
        <v>74</v>
      </c>
      <c r="AA322" t="s">
        <v>74</v>
      </c>
      <c r="AB322" t="s">
        <v>74</v>
      </c>
      <c r="AC322" t="s">
        <v>74</v>
      </c>
      <c r="AD322" t="s">
        <v>74</v>
      </c>
      <c r="AE322" t="s">
        <v>74</v>
      </c>
      <c r="AF322" t="s">
        <v>74</v>
      </c>
      <c r="AG322">
        <v>1</v>
      </c>
      <c r="AH322">
        <v>0</v>
      </c>
      <c r="AI322">
        <v>0</v>
      </c>
      <c r="AJ322">
        <v>0</v>
      </c>
      <c r="AK322">
        <v>0</v>
      </c>
      <c r="AL322" t="s">
        <v>2887</v>
      </c>
      <c r="AM322" t="s">
        <v>557</v>
      </c>
      <c r="AN322" t="s">
        <v>2888</v>
      </c>
      <c r="AO322" t="s">
        <v>5194</v>
      </c>
      <c r="AP322" t="s">
        <v>5195</v>
      </c>
      <c r="AQ322" t="s">
        <v>74</v>
      </c>
      <c r="AR322" t="s">
        <v>5196</v>
      </c>
      <c r="AS322" t="s">
        <v>5197</v>
      </c>
      <c r="AT322" t="s">
        <v>4479</v>
      </c>
      <c r="AU322">
        <v>2006</v>
      </c>
      <c r="AV322">
        <v>18</v>
      </c>
      <c r="AW322">
        <v>1</v>
      </c>
      <c r="AX322" t="s">
        <v>74</v>
      </c>
      <c r="AY322" t="s">
        <v>74</v>
      </c>
      <c r="AZ322" t="s">
        <v>74</v>
      </c>
      <c r="BA322" t="s">
        <v>74</v>
      </c>
      <c r="BB322">
        <v>480</v>
      </c>
      <c r="BC322">
        <v>481</v>
      </c>
      <c r="BD322" t="s">
        <v>74</v>
      </c>
      <c r="BE322" t="s">
        <v>5198</v>
      </c>
      <c r="BF322" t="str">
        <f>HYPERLINK("http://dx.doi.org/10.1177/084387140601800179","http://dx.doi.org/10.1177/084387140601800179")</f>
        <v>http://dx.doi.org/10.1177/084387140601800179</v>
      </c>
      <c r="BG322" t="s">
        <v>74</v>
      </c>
      <c r="BH322" t="s">
        <v>74</v>
      </c>
      <c r="BI322">
        <v>3</v>
      </c>
      <c r="BJ322" t="s">
        <v>5199</v>
      </c>
      <c r="BK322" t="s">
        <v>3112</v>
      </c>
      <c r="BL322" t="s">
        <v>5199</v>
      </c>
      <c r="BM322" t="s">
        <v>5200</v>
      </c>
      <c r="BN322" t="s">
        <v>74</v>
      </c>
      <c r="BO322" t="s">
        <v>74</v>
      </c>
      <c r="BP322" t="s">
        <v>74</v>
      </c>
      <c r="BQ322" t="s">
        <v>74</v>
      </c>
      <c r="BR322" t="s">
        <v>100</v>
      </c>
      <c r="BS322" t="s">
        <v>5201</v>
      </c>
      <c r="BT322" t="str">
        <f>HYPERLINK("https%3A%2F%2Fwww.webofscience.com%2Fwos%2Fwoscc%2Ffull-record%2FWOS:000210613000079","View Full Record in Web of Science")</f>
        <v>View Full Record in Web of Science</v>
      </c>
    </row>
    <row r="323" spans="1:72" x14ac:dyDescent="0.15">
      <c r="A323" t="s">
        <v>72</v>
      </c>
      <c r="B323" t="s">
        <v>5202</v>
      </c>
      <c r="C323" t="s">
        <v>74</v>
      </c>
      <c r="D323" t="s">
        <v>74</v>
      </c>
      <c r="E323" t="s">
        <v>74</v>
      </c>
      <c r="F323" t="s">
        <v>5203</v>
      </c>
      <c r="G323" t="s">
        <v>74</v>
      </c>
      <c r="H323" t="s">
        <v>74</v>
      </c>
      <c r="I323" t="s">
        <v>5204</v>
      </c>
      <c r="J323" t="s">
        <v>809</v>
      </c>
      <c r="K323" t="s">
        <v>74</v>
      </c>
      <c r="L323" t="s">
        <v>74</v>
      </c>
      <c r="M323" t="s">
        <v>78</v>
      </c>
      <c r="N323" t="s">
        <v>79</v>
      </c>
      <c r="O323" t="s">
        <v>74</v>
      </c>
      <c r="P323" t="s">
        <v>74</v>
      </c>
      <c r="Q323" t="s">
        <v>74</v>
      </c>
      <c r="R323" t="s">
        <v>74</v>
      </c>
      <c r="S323" t="s">
        <v>74</v>
      </c>
      <c r="T323" t="s">
        <v>74</v>
      </c>
      <c r="U323" t="s">
        <v>5205</v>
      </c>
      <c r="V323" t="s">
        <v>5206</v>
      </c>
      <c r="W323" t="s">
        <v>5207</v>
      </c>
      <c r="X323" t="s">
        <v>5208</v>
      </c>
      <c r="Y323" t="s">
        <v>5209</v>
      </c>
      <c r="Z323" t="s">
        <v>5210</v>
      </c>
      <c r="AA323" t="s">
        <v>5211</v>
      </c>
      <c r="AB323" t="s">
        <v>5212</v>
      </c>
      <c r="AC323" t="s">
        <v>74</v>
      </c>
      <c r="AD323" t="s">
        <v>74</v>
      </c>
      <c r="AE323" t="s">
        <v>74</v>
      </c>
      <c r="AF323" t="s">
        <v>74</v>
      </c>
      <c r="AG323">
        <v>29</v>
      </c>
      <c r="AH323">
        <v>46</v>
      </c>
      <c r="AI323">
        <v>49</v>
      </c>
      <c r="AJ323">
        <v>0</v>
      </c>
      <c r="AK323">
        <v>7</v>
      </c>
      <c r="AL323" t="s">
        <v>5213</v>
      </c>
      <c r="AM323" t="s">
        <v>557</v>
      </c>
      <c r="AN323" t="s">
        <v>5214</v>
      </c>
      <c r="AO323" t="s">
        <v>821</v>
      </c>
      <c r="AP323" t="s">
        <v>5215</v>
      </c>
      <c r="AQ323" t="s">
        <v>74</v>
      </c>
      <c r="AR323" t="s">
        <v>822</v>
      </c>
      <c r="AS323" t="s">
        <v>823</v>
      </c>
      <c r="AT323" t="s">
        <v>4479</v>
      </c>
      <c r="AU323">
        <v>2006</v>
      </c>
      <c r="AV323">
        <v>56</v>
      </c>
      <c r="AW323" t="s">
        <v>74</v>
      </c>
      <c r="AX323">
        <v>6</v>
      </c>
      <c r="AY323" t="s">
        <v>74</v>
      </c>
      <c r="AZ323" t="s">
        <v>74</v>
      </c>
      <c r="BA323" t="s">
        <v>74</v>
      </c>
      <c r="BB323">
        <v>1239</v>
      </c>
      <c r="BC323">
        <v>1244</v>
      </c>
      <c r="BD323" t="s">
        <v>74</v>
      </c>
      <c r="BE323" t="s">
        <v>5216</v>
      </c>
      <c r="BF323" t="str">
        <f>HYPERLINK("http://dx.doi.org/10.1099/ijs.0.64164-0","http://dx.doi.org/10.1099/ijs.0.64164-0")</f>
        <v>http://dx.doi.org/10.1099/ijs.0.64164-0</v>
      </c>
      <c r="BG323" t="s">
        <v>74</v>
      </c>
      <c r="BH323" t="s">
        <v>74</v>
      </c>
      <c r="BI323">
        <v>6</v>
      </c>
      <c r="BJ323" t="s">
        <v>587</v>
      </c>
      <c r="BK323" t="s">
        <v>97</v>
      </c>
      <c r="BL323" t="s">
        <v>587</v>
      </c>
      <c r="BM323" t="s">
        <v>5217</v>
      </c>
      <c r="BN323">
        <v>16738098</v>
      </c>
      <c r="BO323" t="s">
        <v>460</v>
      </c>
      <c r="BP323" t="s">
        <v>74</v>
      </c>
      <c r="BQ323" t="s">
        <v>74</v>
      </c>
      <c r="BR323" t="s">
        <v>100</v>
      </c>
      <c r="BS323" t="s">
        <v>5218</v>
      </c>
      <c r="BT323" t="str">
        <f>HYPERLINK("https%3A%2F%2Fwww.webofscience.com%2Fwos%2Fwoscc%2Ffull-record%2FWOS:000238475200012","View Full Record in Web of Science")</f>
        <v>View Full Record in Web of Science</v>
      </c>
    </row>
    <row r="324" spans="1:72" x14ac:dyDescent="0.15">
      <c r="A324" t="s">
        <v>72</v>
      </c>
      <c r="B324" t="s">
        <v>5219</v>
      </c>
      <c r="C324" t="s">
        <v>74</v>
      </c>
      <c r="D324" t="s">
        <v>74</v>
      </c>
      <c r="E324" t="s">
        <v>74</v>
      </c>
      <c r="F324" t="s">
        <v>5220</v>
      </c>
      <c r="G324" t="s">
        <v>74</v>
      </c>
      <c r="H324" t="s">
        <v>74</v>
      </c>
      <c r="I324" t="s">
        <v>5221</v>
      </c>
      <c r="J324" t="s">
        <v>5222</v>
      </c>
      <c r="K324" t="s">
        <v>74</v>
      </c>
      <c r="L324" t="s">
        <v>74</v>
      </c>
      <c r="M324" t="s">
        <v>78</v>
      </c>
      <c r="N324" t="s">
        <v>79</v>
      </c>
      <c r="O324" t="s">
        <v>74</v>
      </c>
      <c r="P324" t="s">
        <v>74</v>
      </c>
      <c r="Q324" t="s">
        <v>74</v>
      </c>
      <c r="R324" t="s">
        <v>74</v>
      </c>
      <c r="S324" t="s">
        <v>74</v>
      </c>
      <c r="T324" t="s">
        <v>5223</v>
      </c>
      <c r="U324" t="s">
        <v>5224</v>
      </c>
      <c r="V324" t="s">
        <v>5225</v>
      </c>
      <c r="W324" t="s">
        <v>5226</v>
      </c>
      <c r="X324" t="s">
        <v>5227</v>
      </c>
      <c r="Y324" t="s">
        <v>5228</v>
      </c>
      <c r="Z324" t="s">
        <v>5229</v>
      </c>
      <c r="AA324" t="s">
        <v>5230</v>
      </c>
      <c r="AB324" t="s">
        <v>5231</v>
      </c>
      <c r="AC324" t="s">
        <v>74</v>
      </c>
      <c r="AD324" t="s">
        <v>74</v>
      </c>
      <c r="AE324" t="s">
        <v>74</v>
      </c>
      <c r="AF324" t="s">
        <v>74</v>
      </c>
      <c r="AG324">
        <v>12</v>
      </c>
      <c r="AH324">
        <v>174</v>
      </c>
      <c r="AI324">
        <v>206</v>
      </c>
      <c r="AJ324">
        <v>1</v>
      </c>
      <c r="AK324">
        <v>27</v>
      </c>
      <c r="AL324" t="s">
        <v>580</v>
      </c>
      <c r="AM324" t="s">
        <v>388</v>
      </c>
      <c r="AN324" t="s">
        <v>581</v>
      </c>
      <c r="AO324" t="s">
        <v>5232</v>
      </c>
      <c r="AP324" t="s">
        <v>5233</v>
      </c>
      <c r="AQ324" t="s">
        <v>74</v>
      </c>
      <c r="AR324" t="s">
        <v>5234</v>
      </c>
      <c r="AS324" t="s">
        <v>5235</v>
      </c>
      <c r="AT324" t="s">
        <v>4479</v>
      </c>
      <c r="AU324">
        <v>2006</v>
      </c>
      <c r="AV324">
        <v>57</v>
      </c>
      <c r="AW324">
        <v>6</v>
      </c>
      <c r="AX324" t="s">
        <v>74</v>
      </c>
      <c r="AY324" t="s">
        <v>74</v>
      </c>
      <c r="AZ324" t="s">
        <v>74</v>
      </c>
      <c r="BA324" t="s">
        <v>74</v>
      </c>
      <c r="BB324">
        <v>1215</v>
      </c>
      <c r="BC324">
        <v>1219</v>
      </c>
      <c r="BD324" t="s">
        <v>74</v>
      </c>
      <c r="BE324" t="s">
        <v>5236</v>
      </c>
      <c r="BF324" t="str">
        <f>HYPERLINK("http://dx.doi.org/10.1093/jac/dkl122","http://dx.doi.org/10.1093/jac/dkl122")</f>
        <v>http://dx.doi.org/10.1093/jac/dkl122</v>
      </c>
      <c r="BG324" t="s">
        <v>74</v>
      </c>
      <c r="BH324" t="s">
        <v>74</v>
      </c>
      <c r="BI324">
        <v>5</v>
      </c>
      <c r="BJ324" t="s">
        <v>5237</v>
      </c>
      <c r="BK324" t="s">
        <v>97</v>
      </c>
      <c r="BL324" t="s">
        <v>5237</v>
      </c>
      <c r="BM324" t="s">
        <v>5238</v>
      </c>
      <c r="BN324">
        <v>16581916</v>
      </c>
      <c r="BO324" t="s">
        <v>74</v>
      </c>
      <c r="BP324" t="s">
        <v>74</v>
      </c>
      <c r="BQ324" t="s">
        <v>74</v>
      </c>
      <c r="BR324" t="s">
        <v>100</v>
      </c>
      <c r="BS324" t="s">
        <v>5239</v>
      </c>
      <c r="BT324" t="str">
        <f>HYPERLINK("https%3A%2F%2Fwww.webofscience.com%2Fwos%2Fwoscc%2Ffull-record%2FWOS:000238257900030","View Full Record in Web of Science")</f>
        <v>View Full Record in Web of Science</v>
      </c>
    </row>
    <row r="325" spans="1:72" x14ac:dyDescent="0.15">
      <c r="A325" t="s">
        <v>72</v>
      </c>
      <c r="B325" t="s">
        <v>5240</v>
      </c>
      <c r="C325" t="s">
        <v>74</v>
      </c>
      <c r="D325" t="s">
        <v>74</v>
      </c>
      <c r="E325" t="s">
        <v>74</v>
      </c>
      <c r="F325" t="s">
        <v>5241</v>
      </c>
      <c r="G325" t="s">
        <v>74</v>
      </c>
      <c r="H325" t="s">
        <v>74</v>
      </c>
      <c r="I325" t="s">
        <v>5242</v>
      </c>
      <c r="J325" t="s">
        <v>3023</v>
      </c>
      <c r="K325" t="s">
        <v>74</v>
      </c>
      <c r="L325" t="s">
        <v>74</v>
      </c>
      <c r="M325" t="s">
        <v>78</v>
      </c>
      <c r="N325" t="s">
        <v>79</v>
      </c>
      <c r="O325" t="s">
        <v>74</v>
      </c>
      <c r="P325" t="s">
        <v>74</v>
      </c>
      <c r="Q325" t="s">
        <v>74</v>
      </c>
      <c r="R325" t="s">
        <v>74</v>
      </c>
      <c r="S325" t="s">
        <v>74</v>
      </c>
      <c r="T325" t="s">
        <v>5243</v>
      </c>
      <c r="U325" t="s">
        <v>5244</v>
      </c>
      <c r="V325" t="s">
        <v>5245</v>
      </c>
      <c r="W325" t="s">
        <v>5246</v>
      </c>
      <c r="X325" t="s">
        <v>5247</v>
      </c>
      <c r="Y325" t="s">
        <v>5248</v>
      </c>
      <c r="Z325" t="s">
        <v>5249</v>
      </c>
      <c r="AA325" t="s">
        <v>74</v>
      </c>
      <c r="AB325" t="s">
        <v>74</v>
      </c>
      <c r="AC325" t="s">
        <v>74</v>
      </c>
      <c r="AD325" t="s">
        <v>74</v>
      </c>
      <c r="AE325" t="s">
        <v>74</v>
      </c>
      <c r="AF325" t="s">
        <v>74</v>
      </c>
      <c r="AG325">
        <v>79</v>
      </c>
      <c r="AH325">
        <v>50</v>
      </c>
      <c r="AI325">
        <v>60</v>
      </c>
      <c r="AJ325">
        <v>0</v>
      </c>
      <c r="AK325">
        <v>44</v>
      </c>
      <c r="AL325" t="s">
        <v>115</v>
      </c>
      <c r="AM325" t="s">
        <v>116</v>
      </c>
      <c r="AN325" t="s">
        <v>117</v>
      </c>
      <c r="AO325" t="s">
        <v>3033</v>
      </c>
      <c r="AP325" t="s">
        <v>5250</v>
      </c>
      <c r="AQ325" t="s">
        <v>74</v>
      </c>
      <c r="AR325" t="s">
        <v>3034</v>
      </c>
      <c r="AS325" t="s">
        <v>3035</v>
      </c>
      <c r="AT325" t="s">
        <v>4479</v>
      </c>
      <c r="AU325">
        <v>2006</v>
      </c>
      <c r="AV325">
        <v>33</v>
      </c>
      <c r="AW325">
        <v>6</v>
      </c>
      <c r="AX325" t="s">
        <v>74</v>
      </c>
      <c r="AY325" t="s">
        <v>74</v>
      </c>
      <c r="AZ325" t="s">
        <v>74</v>
      </c>
      <c r="BA325" t="s">
        <v>74</v>
      </c>
      <c r="BB325">
        <v>1066</v>
      </c>
      <c r="BC325">
        <v>1075</v>
      </c>
      <c r="BD325" t="s">
        <v>74</v>
      </c>
      <c r="BE325" t="s">
        <v>5251</v>
      </c>
      <c r="BF325" t="str">
        <f>HYPERLINK("http://dx.doi.org/10.1111/j.1365-2699.2006.01479.x","http://dx.doi.org/10.1111/j.1365-2699.2006.01479.x")</f>
        <v>http://dx.doi.org/10.1111/j.1365-2699.2006.01479.x</v>
      </c>
      <c r="BG325" t="s">
        <v>74</v>
      </c>
      <c r="BH325" t="s">
        <v>74</v>
      </c>
      <c r="BI325">
        <v>10</v>
      </c>
      <c r="BJ325" t="s">
        <v>3037</v>
      </c>
      <c r="BK325" t="s">
        <v>97</v>
      </c>
      <c r="BL325" t="s">
        <v>145</v>
      </c>
      <c r="BM325" t="s">
        <v>5252</v>
      </c>
      <c r="BN325" t="s">
        <v>74</v>
      </c>
      <c r="BO325" t="s">
        <v>74</v>
      </c>
      <c r="BP325" t="s">
        <v>74</v>
      </c>
      <c r="BQ325" t="s">
        <v>74</v>
      </c>
      <c r="BR325" t="s">
        <v>100</v>
      </c>
      <c r="BS325" t="s">
        <v>5253</v>
      </c>
      <c r="BT325" t="str">
        <f>HYPERLINK("https%3A%2F%2Fwww.webofscience.com%2Fwos%2Fwoscc%2Ffull-record%2FWOS:000237352500010","View Full Record in Web of Science")</f>
        <v>View Full Record in Web of Science</v>
      </c>
    </row>
    <row r="326" spans="1:72" x14ac:dyDescent="0.15">
      <c r="A326" t="s">
        <v>72</v>
      </c>
      <c r="B326" t="s">
        <v>5254</v>
      </c>
      <c r="C326" t="s">
        <v>74</v>
      </c>
      <c r="D326" t="s">
        <v>74</v>
      </c>
      <c r="E326" t="s">
        <v>74</v>
      </c>
      <c r="F326" t="s">
        <v>5254</v>
      </c>
      <c r="G326" t="s">
        <v>74</v>
      </c>
      <c r="H326" t="s">
        <v>74</v>
      </c>
      <c r="I326" t="s">
        <v>5255</v>
      </c>
      <c r="J326" t="s">
        <v>5256</v>
      </c>
      <c r="K326" t="s">
        <v>74</v>
      </c>
      <c r="L326" t="s">
        <v>74</v>
      </c>
      <c r="M326" t="s">
        <v>78</v>
      </c>
      <c r="N326" t="s">
        <v>79</v>
      </c>
      <c r="O326" t="s">
        <v>74</v>
      </c>
      <c r="P326" t="s">
        <v>74</v>
      </c>
      <c r="Q326" t="s">
        <v>74</v>
      </c>
      <c r="R326" t="s">
        <v>74</v>
      </c>
      <c r="S326" t="s">
        <v>74</v>
      </c>
      <c r="T326" t="s">
        <v>5257</v>
      </c>
      <c r="U326" t="s">
        <v>5258</v>
      </c>
      <c r="V326" t="s">
        <v>5259</v>
      </c>
      <c r="W326" t="s">
        <v>5260</v>
      </c>
      <c r="X326" t="s">
        <v>5261</v>
      </c>
      <c r="Y326" t="s">
        <v>5262</v>
      </c>
      <c r="Z326" t="s">
        <v>5263</v>
      </c>
      <c r="AA326" t="s">
        <v>74</v>
      </c>
      <c r="AB326" t="s">
        <v>74</v>
      </c>
      <c r="AC326" t="s">
        <v>5264</v>
      </c>
      <c r="AD326" t="s">
        <v>1328</v>
      </c>
      <c r="AE326" t="s">
        <v>74</v>
      </c>
      <c r="AF326" t="s">
        <v>74</v>
      </c>
      <c r="AG326">
        <v>25</v>
      </c>
      <c r="AH326">
        <v>34</v>
      </c>
      <c r="AI326">
        <v>38</v>
      </c>
      <c r="AJ326">
        <v>0</v>
      </c>
      <c r="AK326">
        <v>12</v>
      </c>
      <c r="AL326" t="s">
        <v>5265</v>
      </c>
      <c r="AM326" t="s">
        <v>5266</v>
      </c>
      <c r="AN326" t="s">
        <v>5267</v>
      </c>
      <c r="AO326" t="s">
        <v>5268</v>
      </c>
      <c r="AP326" t="s">
        <v>74</v>
      </c>
      <c r="AQ326" t="s">
        <v>74</v>
      </c>
      <c r="AR326" t="s">
        <v>5269</v>
      </c>
      <c r="AS326" t="s">
        <v>5270</v>
      </c>
      <c r="AT326" t="s">
        <v>4479</v>
      </c>
      <c r="AU326">
        <v>2006</v>
      </c>
      <c r="AV326">
        <v>21</v>
      </c>
      <c r="AW326">
        <v>3</v>
      </c>
      <c r="AX326" t="s">
        <v>74</v>
      </c>
      <c r="AY326" t="s">
        <v>74</v>
      </c>
      <c r="AZ326" t="s">
        <v>74</v>
      </c>
      <c r="BA326" t="s">
        <v>74</v>
      </c>
      <c r="BB326">
        <v>214</v>
      </c>
      <c r="BC326">
        <v>221</v>
      </c>
      <c r="BD326" t="s">
        <v>74</v>
      </c>
      <c r="BE326" t="s">
        <v>5271</v>
      </c>
      <c r="BF326" t="str">
        <f>HYPERLINK("http://dx.doi.org/10.1177/0748730405285278","http://dx.doi.org/10.1177/0748730405285278")</f>
        <v>http://dx.doi.org/10.1177/0748730405285278</v>
      </c>
      <c r="BG326" t="s">
        <v>74</v>
      </c>
      <c r="BH326" t="s">
        <v>74</v>
      </c>
      <c r="BI326">
        <v>8</v>
      </c>
      <c r="BJ326" t="s">
        <v>5272</v>
      </c>
      <c r="BK326" t="s">
        <v>97</v>
      </c>
      <c r="BL326" t="s">
        <v>5273</v>
      </c>
      <c r="BM326" t="s">
        <v>5274</v>
      </c>
      <c r="BN326">
        <v>16731661</v>
      </c>
      <c r="BO326" t="s">
        <v>74</v>
      </c>
      <c r="BP326" t="s">
        <v>74</v>
      </c>
      <c r="BQ326" t="s">
        <v>74</v>
      </c>
      <c r="BR326" t="s">
        <v>100</v>
      </c>
      <c r="BS326" t="s">
        <v>5275</v>
      </c>
      <c r="BT326" t="str">
        <f>HYPERLINK("https%3A%2F%2Fwww.webofscience.com%2Fwos%2Fwoscc%2Ffull-record%2FWOS:000237698900007","View Full Record in Web of Science")</f>
        <v>View Full Record in Web of Science</v>
      </c>
    </row>
    <row r="327" spans="1:72" x14ac:dyDescent="0.15">
      <c r="A327" t="s">
        <v>72</v>
      </c>
      <c r="B327" t="s">
        <v>5276</v>
      </c>
      <c r="C327" t="s">
        <v>74</v>
      </c>
      <c r="D327" t="s">
        <v>74</v>
      </c>
      <c r="E327" t="s">
        <v>74</v>
      </c>
      <c r="F327" t="s">
        <v>5277</v>
      </c>
      <c r="G327" t="s">
        <v>74</v>
      </c>
      <c r="H327" t="s">
        <v>74</v>
      </c>
      <c r="I327" t="s">
        <v>5278</v>
      </c>
      <c r="J327" t="s">
        <v>852</v>
      </c>
      <c r="K327" t="s">
        <v>74</v>
      </c>
      <c r="L327" t="s">
        <v>74</v>
      </c>
      <c r="M327" t="s">
        <v>78</v>
      </c>
      <c r="N327" t="s">
        <v>79</v>
      </c>
      <c r="O327" t="s">
        <v>74</v>
      </c>
      <c r="P327" t="s">
        <v>74</v>
      </c>
      <c r="Q327" t="s">
        <v>74</v>
      </c>
      <c r="R327" t="s">
        <v>74</v>
      </c>
      <c r="S327" t="s">
        <v>74</v>
      </c>
      <c r="T327" t="s">
        <v>74</v>
      </c>
      <c r="U327" t="s">
        <v>5279</v>
      </c>
      <c r="V327" t="s">
        <v>5280</v>
      </c>
      <c r="W327" t="s">
        <v>5281</v>
      </c>
      <c r="X327" t="s">
        <v>5282</v>
      </c>
      <c r="Y327" t="s">
        <v>5283</v>
      </c>
      <c r="Z327" t="s">
        <v>5284</v>
      </c>
      <c r="AA327" t="s">
        <v>5285</v>
      </c>
      <c r="AB327" t="s">
        <v>5286</v>
      </c>
      <c r="AC327" t="s">
        <v>74</v>
      </c>
      <c r="AD327" t="s">
        <v>74</v>
      </c>
      <c r="AE327" t="s">
        <v>74</v>
      </c>
      <c r="AF327" t="s">
        <v>74</v>
      </c>
      <c r="AG327">
        <v>39</v>
      </c>
      <c r="AH327">
        <v>124</v>
      </c>
      <c r="AI327">
        <v>153</v>
      </c>
      <c r="AJ327">
        <v>0</v>
      </c>
      <c r="AK327">
        <v>5</v>
      </c>
      <c r="AL327" t="s">
        <v>861</v>
      </c>
      <c r="AM327" t="s">
        <v>862</v>
      </c>
      <c r="AN327" t="s">
        <v>863</v>
      </c>
      <c r="AO327" t="s">
        <v>864</v>
      </c>
      <c r="AP327" t="s">
        <v>865</v>
      </c>
      <c r="AQ327" t="s">
        <v>74</v>
      </c>
      <c r="AR327" t="s">
        <v>866</v>
      </c>
      <c r="AS327" t="s">
        <v>867</v>
      </c>
      <c r="AT327" t="s">
        <v>5107</v>
      </c>
      <c r="AU327">
        <v>2006</v>
      </c>
      <c r="AV327">
        <v>19</v>
      </c>
      <c r="AW327">
        <v>11</v>
      </c>
      <c r="AX327" t="s">
        <v>74</v>
      </c>
      <c r="AY327" t="s">
        <v>74</v>
      </c>
      <c r="AZ327" t="s">
        <v>74</v>
      </c>
      <c r="BA327" t="s">
        <v>74</v>
      </c>
      <c r="BB327">
        <v>2162</v>
      </c>
      <c r="BC327">
        <v>2183</v>
      </c>
      <c r="BD327" t="s">
        <v>74</v>
      </c>
      <c r="BE327" t="s">
        <v>5287</v>
      </c>
      <c r="BF327" t="str">
        <f>HYPERLINK("http://dx.doi.org/10.1175/JCLI3762.1","http://dx.doi.org/10.1175/JCLI3762.1")</f>
        <v>http://dx.doi.org/10.1175/JCLI3762.1</v>
      </c>
      <c r="BG327" t="s">
        <v>74</v>
      </c>
      <c r="BH327" t="s">
        <v>74</v>
      </c>
      <c r="BI327">
        <v>22</v>
      </c>
      <c r="BJ327" t="s">
        <v>869</v>
      </c>
      <c r="BK327" t="s">
        <v>97</v>
      </c>
      <c r="BL327" t="s">
        <v>869</v>
      </c>
      <c r="BM327" t="s">
        <v>5288</v>
      </c>
      <c r="BN327" t="s">
        <v>74</v>
      </c>
      <c r="BO327" t="s">
        <v>460</v>
      </c>
      <c r="BP327" t="s">
        <v>74</v>
      </c>
      <c r="BQ327" t="s">
        <v>74</v>
      </c>
      <c r="BR327" t="s">
        <v>100</v>
      </c>
      <c r="BS327" t="s">
        <v>5289</v>
      </c>
      <c r="BT327" t="str">
        <f>HYPERLINK("https%3A%2F%2Fwww.webofscience.com%2Fwos%2Fwoscc%2Ffull-record%2FWOS:000238148200004","View Full Record in Web of Science")</f>
        <v>View Full Record in Web of Science</v>
      </c>
    </row>
    <row r="328" spans="1:72" x14ac:dyDescent="0.15">
      <c r="A328" t="s">
        <v>72</v>
      </c>
      <c r="B328" t="s">
        <v>5290</v>
      </c>
      <c r="C328" t="s">
        <v>74</v>
      </c>
      <c r="D328" t="s">
        <v>74</v>
      </c>
      <c r="E328" t="s">
        <v>74</v>
      </c>
      <c r="F328" t="s">
        <v>5291</v>
      </c>
      <c r="G328" t="s">
        <v>74</v>
      </c>
      <c r="H328" t="s">
        <v>74</v>
      </c>
      <c r="I328" t="s">
        <v>5292</v>
      </c>
      <c r="J328" t="s">
        <v>852</v>
      </c>
      <c r="K328" t="s">
        <v>74</v>
      </c>
      <c r="L328" t="s">
        <v>74</v>
      </c>
      <c r="M328" t="s">
        <v>78</v>
      </c>
      <c r="N328" t="s">
        <v>79</v>
      </c>
      <c r="O328" t="s">
        <v>74</v>
      </c>
      <c r="P328" t="s">
        <v>74</v>
      </c>
      <c r="Q328" t="s">
        <v>74</v>
      </c>
      <c r="R328" t="s">
        <v>74</v>
      </c>
      <c r="S328" t="s">
        <v>74</v>
      </c>
      <c r="T328" t="s">
        <v>74</v>
      </c>
      <c r="U328" t="s">
        <v>5293</v>
      </c>
      <c r="V328" t="s">
        <v>5294</v>
      </c>
      <c r="W328" t="s">
        <v>5295</v>
      </c>
      <c r="X328" t="s">
        <v>5296</v>
      </c>
      <c r="Y328" t="s">
        <v>5297</v>
      </c>
      <c r="Z328" t="s">
        <v>5298</v>
      </c>
      <c r="AA328" t="s">
        <v>5299</v>
      </c>
      <c r="AB328" t="s">
        <v>5300</v>
      </c>
      <c r="AC328" t="s">
        <v>74</v>
      </c>
      <c r="AD328" t="s">
        <v>74</v>
      </c>
      <c r="AE328" t="s">
        <v>74</v>
      </c>
      <c r="AF328" t="s">
        <v>74</v>
      </c>
      <c r="AG328">
        <v>45</v>
      </c>
      <c r="AH328">
        <v>95</v>
      </c>
      <c r="AI328">
        <v>110</v>
      </c>
      <c r="AJ328">
        <v>0</v>
      </c>
      <c r="AK328">
        <v>16</v>
      </c>
      <c r="AL328" t="s">
        <v>861</v>
      </c>
      <c r="AM328" t="s">
        <v>862</v>
      </c>
      <c r="AN328" t="s">
        <v>863</v>
      </c>
      <c r="AO328" t="s">
        <v>864</v>
      </c>
      <c r="AP328" t="s">
        <v>865</v>
      </c>
      <c r="AQ328" t="s">
        <v>74</v>
      </c>
      <c r="AR328" t="s">
        <v>866</v>
      </c>
      <c r="AS328" t="s">
        <v>867</v>
      </c>
      <c r="AT328" t="s">
        <v>5107</v>
      </c>
      <c r="AU328">
        <v>2006</v>
      </c>
      <c r="AV328">
        <v>19</v>
      </c>
      <c r="AW328">
        <v>11</v>
      </c>
      <c r="AX328" t="s">
        <v>74</v>
      </c>
      <c r="AY328" t="s">
        <v>74</v>
      </c>
      <c r="AZ328" t="s">
        <v>74</v>
      </c>
      <c r="BA328" t="s">
        <v>74</v>
      </c>
      <c r="BB328">
        <v>2267</v>
      </c>
      <c r="BC328">
        <v>2289</v>
      </c>
      <c r="BD328" t="s">
        <v>74</v>
      </c>
      <c r="BE328" t="s">
        <v>5301</v>
      </c>
      <c r="BF328" t="str">
        <f>HYPERLINK("http://dx.doi.org/10.1175/JCLI3764.1","http://dx.doi.org/10.1175/JCLI3764.1")</f>
        <v>http://dx.doi.org/10.1175/JCLI3764.1</v>
      </c>
      <c r="BG328" t="s">
        <v>74</v>
      </c>
      <c r="BH328" t="s">
        <v>74</v>
      </c>
      <c r="BI328">
        <v>23</v>
      </c>
      <c r="BJ328" t="s">
        <v>869</v>
      </c>
      <c r="BK328" t="s">
        <v>97</v>
      </c>
      <c r="BL328" t="s">
        <v>869</v>
      </c>
      <c r="BM328" t="s">
        <v>5288</v>
      </c>
      <c r="BN328" t="s">
        <v>74</v>
      </c>
      <c r="BO328" t="s">
        <v>164</v>
      </c>
      <c r="BP328" t="s">
        <v>74</v>
      </c>
      <c r="BQ328" t="s">
        <v>74</v>
      </c>
      <c r="BR328" t="s">
        <v>100</v>
      </c>
      <c r="BS328" t="s">
        <v>5302</v>
      </c>
      <c r="BT328" t="str">
        <f>HYPERLINK("https%3A%2F%2Fwww.webofscience.com%2Fwos%2Fwoscc%2Ffull-record%2FWOS:000238148200009","View Full Record in Web of Science")</f>
        <v>View Full Record in Web of Science</v>
      </c>
    </row>
    <row r="329" spans="1:72" x14ac:dyDescent="0.15">
      <c r="A329" t="s">
        <v>72</v>
      </c>
      <c r="B329" t="s">
        <v>5303</v>
      </c>
      <c r="C329" t="s">
        <v>74</v>
      </c>
      <c r="D329" t="s">
        <v>74</v>
      </c>
      <c r="E329" t="s">
        <v>74</v>
      </c>
      <c r="F329" t="s">
        <v>5304</v>
      </c>
      <c r="G329" t="s">
        <v>74</v>
      </c>
      <c r="H329" t="s">
        <v>74</v>
      </c>
      <c r="I329" t="s">
        <v>5305</v>
      </c>
      <c r="J329" t="s">
        <v>852</v>
      </c>
      <c r="K329" t="s">
        <v>74</v>
      </c>
      <c r="L329" t="s">
        <v>74</v>
      </c>
      <c r="M329" t="s">
        <v>78</v>
      </c>
      <c r="N329" t="s">
        <v>79</v>
      </c>
      <c r="O329" t="s">
        <v>74</v>
      </c>
      <c r="P329" t="s">
        <v>74</v>
      </c>
      <c r="Q329" t="s">
        <v>74</v>
      </c>
      <c r="R329" t="s">
        <v>74</v>
      </c>
      <c r="S329" t="s">
        <v>74</v>
      </c>
      <c r="T329" t="s">
        <v>74</v>
      </c>
      <c r="U329" t="s">
        <v>5306</v>
      </c>
      <c r="V329" t="s">
        <v>5307</v>
      </c>
      <c r="W329" t="s">
        <v>5308</v>
      </c>
      <c r="X329" t="s">
        <v>5282</v>
      </c>
      <c r="Y329" t="s">
        <v>5309</v>
      </c>
      <c r="Z329" t="s">
        <v>5310</v>
      </c>
      <c r="AA329" t="s">
        <v>74</v>
      </c>
      <c r="AB329" t="s">
        <v>5311</v>
      </c>
      <c r="AC329" t="s">
        <v>74</v>
      </c>
      <c r="AD329" t="s">
        <v>74</v>
      </c>
      <c r="AE329" t="s">
        <v>74</v>
      </c>
      <c r="AF329" t="s">
        <v>74</v>
      </c>
      <c r="AG329">
        <v>70</v>
      </c>
      <c r="AH329">
        <v>211</v>
      </c>
      <c r="AI329">
        <v>231</v>
      </c>
      <c r="AJ329">
        <v>0</v>
      </c>
      <c r="AK329">
        <v>11</v>
      </c>
      <c r="AL329" t="s">
        <v>861</v>
      </c>
      <c r="AM329" t="s">
        <v>862</v>
      </c>
      <c r="AN329" t="s">
        <v>863</v>
      </c>
      <c r="AO329" t="s">
        <v>864</v>
      </c>
      <c r="AP329" t="s">
        <v>865</v>
      </c>
      <c r="AQ329" t="s">
        <v>74</v>
      </c>
      <c r="AR329" t="s">
        <v>866</v>
      </c>
      <c r="AS329" t="s">
        <v>867</v>
      </c>
      <c r="AT329" t="s">
        <v>5107</v>
      </c>
      <c r="AU329">
        <v>2006</v>
      </c>
      <c r="AV329">
        <v>19</v>
      </c>
      <c r="AW329">
        <v>11</v>
      </c>
      <c r="AX329" t="s">
        <v>74</v>
      </c>
      <c r="AY329" t="s">
        <v>74</v>
      </c>
      <c r="AZ329" t="s">
        <v>74</v>
      </c>
      <c r="BA329" t="s">
        <v>74</v>
      </c>
      <c r="BB329">
        <v>2325</v>
      </c>
      <c r="BC329">
        <v>2346</v>
      </c>
      <c r="BD329" t="s">
        <v>74</v>
      </c>
      <c r="BE329" t="s">
        <v>5312</v>
      </c>
      <c r="BF329" t="str">
        <f>HYPERLINK("http://dx.doi.org/10.1175/JCLI3740.1","http://dx.doi.org/10.1175/JCLI3740.1")</f>
        <v>http://dx.doi.org/10.1175/JCLI3740.1</v>
      </c>
      <c r="BG329" t="s">
        <v>74</v>
      </c>
      <c r="BH329" t="s">
        <v>74</v>
      </c>
      <c r="BI329">
        <v>22</v>
      </c>
      <c r="BJ329" t="s">
        <v>869</v>
      </c>
      <c r="BK329" t="s">
        <v>97</v>
      </c>
      <c r="BL329" t="s">
        <v>869</v>
      </c>
      <c r="BM329" t="s">
        <v>5288</v>
      </c>
      <c r="BN329" t="s">
        <v>74</v>
      </c>
      <c r="BO329" t="s">
        <v>227</v>
      </c>
      <c r="BP329" t="s">
        <v>74</v>
      </c>
      <c r="BQ329" t="s">
        <v>74</v>
      </c>
      <c r="BR329" t="s">
        <v>100</v>
      </c>
      <c r="BS329" t="s">
        <v>5313</v>
      </c>
      <c r="BT329" t="str">
        <f>HYPERLINK("https%3A%2F%2Fwww.webofscience.com%2Fwos%2Fwoscc%2Ffull-record%2FWOS:000238148200012","View Full Record in Web of Science")</f>
        <v>View Full Record in Web of Science</v>
      </c>
    </row>
    <row r="330" spans="1:72" x14ac:dyDescent="0.15">
      <c r="A330" t="s">
        <v>72</v>
      </c>
      <c r="B330" t="s">
        <v>5314</v>
      </c>
      <c r="C330" t="s">
        <v>74</v>
      </c>
      <c r="D330" t="s">
        <v>74</v>
      </c>
      <c r="E330" t="s">
        <v>74</v>
      </c>
      <c r="F330" t="s">
        <v>5315</v>
      </c>
      <c r="G330" t="s">
        <v>74</v>
      </c>
      <c r="H330" t="s">
        <v>74</v>
      </c>
      <c r="I330" t="s">
        <v>5316</v>
      </c>
      <c r="J330" t="s">
        <v>852</v>
      </c>
      <c r="K330" t="s">
        <v>74</v>
      </c>
      <c r="L330" t="s">
        <v>74</v>
      </c>
      <c r="M330" t="s">
        <v>78</v>
      </c>
      <c r="N330" t="s">
        <v>79</v>
      </c>
      <c r="O330" t="s">
        <v>74</v>
      </c>
      <c r="P330" t="s">
        <v>74</v>
      </c>
      <c r="Q330" t="s">
        <v>74</v>
      </c>
      <c r="R330" t="s">
        <v>74</v>
      </c>
      <c r="S330" t="s">
        <v>74</v>
      </c>
      <c r="T330" t="s">
        <v>74</v>
      </c>
      <c r="U330" t="s">
        <v>5317</v>
      </c>
      <c r="V330" t="s">
        <v>5318</v>
      </c>
      <c r="W330" t="s">
        <v>5319</v>
      </c>
      <c r="X330" t="s">
        <v>5320</v>
      </c>
      <c r="Y330" t="s">
        <v>5321</v>
      </c>
      <c r="Z330" t="s">
        <v>5322</v>
      </c>
      <c r="AA330" t="s">
        <v>5323</v>
      </c>
      <c r="AB330" t="s">
        <v>5324</v>
      </c>
      <c r="AC330" t="s">
        <v>74</v>
      </c>
      <c r="AD330" t="s">
        <v>74</v>
      </c>
      <c r="AE330" t="s">
        <v>74</v>
      </c>
      <c r="AF330" t="s">
        <v>74</v>
      </c>
      <c r="AG330">
        <v>65</v>
      </c>
      <c r="AH330">
        <v>463</v>
      </c>
      <c r="AI330">
        <v>521</v>
      </c>
      <c r="AJ330">
        <v>2</v>
      </c>
      <c r="AK330">
        <v>137</v>
      </c>
      <c r="AL330" t="s">
        <v>861</v>
      </c>
      <c r="AM330" t="s">
        <v>862</v>
      </c>
      <c r="AN330" t="s">
        <v>863</v>
      </c>
      <c r="AO330" t="s">
        <v>864</v>
      </c>
      <c r="AP330" t="s">
        <v>865</v>
      </c>
      <c r="AQ330" t="s">
        <v>74</v>
      </c>
      <c r="AR330" t="s">
        <v>866</v>
      </c>
      <c r="AS330" t="s">
        <v>867</v>
      </c>
      <c r="AT330" t="s">
        <v>5107</v>
      </c>
      <c r="AU330">
        <v>2006</v>
      </c>
      <c r="AV330">
        <v>19</v>
      </c>
      <c r="AW330">
        <v>11</v>
      </c>
      <c r="AX330" t="s">
        <v>74</v>
      </c>
      <c r="AY330" t="s">
        <v>74</v>
      </c>
      <c r="AZ330" t="s">
        <v>74</v>
      </c>
      <c r="BA330" t="s">
        <v>74</v>
      </c>
      <c r="BB330">
        <v>2526</v>
      </c>
      <c r="BC330">
        <v>2544</v>
      </c>
      <c r="BD330" t="s">
        <v>74</v>
      </c>
      <c r="BE330" t="s">
        <v>5325</v>
      </c>
      <c r="BF330" t="str">
        <f>HYPERLINK("http://dx.doi.org/10.1175/JCLI3748.1","http://dx.doi.org/10.1175/JCLI3748.1")</f>
        <v>http://dx.doi.org/10.1175/JCLI3748.1</v>
      </c>
      <c r="BG330" t="s">
        <v>74</v>
      </c>
      <c r="BH330" t="s">
        <v>74</v>
      </c>
      <c r="BI330">
        <v>19</v>
      </c>
      <c r="BJ330" t="s">
        <v>869</v>
      </c>
      <c r="BK330" t="s">
        <v>97</v>
      </c>
      <c r="BL330" t="s">
        <v>869</v>
      </c>
      <c r="BM330" t="s">
        <v>5288</v>
      </c>
      <c r="BN330" t="s">
        <v>74</v>
      </c>
      <c r="BO330" t="s">
        <v>460</v>
      </c>
      <c r="BP330" t="s">
        <v>74</v>
      </c>
      <c r="BQ330" t="s">
        <v>74</v>
      </c>
      <c r="BR330" t="s">
        <v>100</v>
      </c>
      <c r="BS330" t="s">
        <v>5326</v>
      </c>
      <c r="BT330" t="str">
        <f>HYPERLINK("https%3A%2F%2Fwww.webofscience.com%2Fwos%2Fwoscc%2Ffull-record%2FWOS:000238148200022","View Full Record in Web of Science")</f>
        <v>View Full Record in Web of Science</v>
      </c>
    </row>
    <row r="331" spans="1:72" x14ac:dyDescent="0.15">
      <c r="A331" t="s">
        <v>72</v>
      </c>
      <c r="B331" t="s">
        <v>5327</v>
      </c>
      <c r="C331" t="s">
        <v>74</v>
      </c>
      <c r="D331" t="s">
        <v>74</v>
      </c>
      <c r="E331" t="s">
        <v>74</v>
      </c>
      <c r="F331" t="s">
        <v>5328</v>
      </c>
      <c r="G331" t="s">
        <v>74</v>
      </c>
      <c r="H331" t="s">
        <v>74</v>
      </c>
      <c r="I331" t="s">
        <v>5329</v>
      </c>
      <c r="J331" t="s">
        <v>852</v>
      </c>
      <c r="K331" t="s">
        <v>74</v>
      </c>
      <c r="L331" t="s">
        <v>74</v>
      </c>
      <c r="M331" t="s">
        <v>78</v>
      </c>
      <c r="N331" t="s">
        <v>79</v>
      </c>
      <c r="O331" t="s">
        <v>74</v>
      </c>
      <c r="P331" t="s">
        <v>74</v>
      </c>
      <c r="Q331" t="s">
        <v>74</v>
      </c>
      <c r="R331" t="s">
        <v>74</v>
      </c>
      <c r="S331" t="s">
        <v>74</v>
      </c>
      <c r="T331" t="s">
        <v>74</v>
      </c>
      <c r="U331" t="s">
        <v>5330</v>
      </c>
      <c r="V331" t="s">
        <v>5331</v>
      </c>
      <c r="W331" t="s">
        <v>5332</v>
      </c>
      <c r="X331" t="s">
        <v>5282</v>
      </c>
      <c r="Y331" t="s">
        <v>5333</v>
      </c>
      <c r="Z331" t="s">
        <v>5334</v>
      </c>
      <c r="AA331" t="s">
        <v>74</v>
      </c>
      <c r="AB331" t="s">
        <v>5335</v>
      </c>
      <c r="AC331" t="s">
        <v>74</v>
      </c>
      <c r="AD331" t="s">
        <v>74</v>
      </c>
      <c r="AE331" t="s">
        <v>74</v>
      </c>
      <c r="AF331" t="s">
        <v>74</v>
      </c>
      <c r="AG331">
        <v>42</v>
      </c>
      <c r="AH331">
        <v>247</v>
      </c>
      <c r="AI331">
        <v>273</v>
      </c>
      <c r="AJ331">
        <v>1</v>
      </c>
      <c r="AK331">
        <v>26</v>
      </c>
      <c r="AL331" t="s">
        <v>861</v>
      </c>
      <c r="AM331" t="s">
        <v>862</v>
      </c>
      <c r="AN331" t="s">
        <v>863</v>
      </c>
      <c r="AO331" t="s">
        <v>864</v>
      </c>
      <c r="AP331" t="s">
        <v>865</v>
      </c>
      <c r="AQ331" t="s">
        <v>74</v>
      </c>
      <c r="AR331" t="s">
        <v>866</v>
      </c>
      <c r="AS331" t="s">
        <v>867</v>
      </c>
      <c r="AT331" t="s">
        <v>5107</v>
      </c>
      <c r="AU331">
        <v>2006</v>
      </c>
      <c r="AV331">
        <v>19</v>
      </c>
      <c r="AW331">
        <v>11</v>
      </c>
      <c r="AX331" t="s">
        <v>74</v>
      </c>
      <c r="AY331" t="s">
        <v>74</v>
      </c>
      <c r="AZ331" t="s">
        <v>74</v>
      </c>
      <c r="BA331" t="s">
        <v>74</v>
      </c>
      <c r="BB331">
        <v>2545</v>
      </c>
      <c r="BC331">
        <v>2566</v>
      </c>
      <c r="BD331" t="s">
        <v>74</v>
      </c>
      <c r="BE331" t="s">
        <v>5336</v>
      </c>
      <c r="BF331" t="str">
        <f>HYPERLINK("http://dx.doi.org/10.1175/JCLI3744.1","http://dx.doi.org/10.1175/JCLI3744.1")</f>
        <v>http://dx.doi.org/10.1175/JCLI3744.1</v>
      </c>
      <c r="BG331" t="s">
        <v>74</v>
      </c>
      <c r="BH331" t="s">
        <v>74</v>
      </c>
      <c r="BI331">
        <v>22</v>
      </c>
      <c r="BJ331" t="s">
        <v>869</v>
      </c>
      <c r="BK331" t="s">
        <v>97</v>
      </c>
      <c r="BL331" t="s">
        <v>869</v>
      </c>
      <c r="BM331" t="s">
        <v>5288</v>
      </c>
      <c r="BN331" t="s">
        <v>74</v>
      </c>
      <c r="BO331" t="s">
        <v>901</v>
      </c>
      <c r="BP331" t="s">
        <v>74</v>
      </c>
      <c r="BQ331" t="s">
        <v>74</v>
      </c>
      <c r="BR331" t="s">
        <v>100</v>
      </c>
      <c r="BS331" t="s">
        <v>5337</v>
      </c>
      <c r="BT331" t="str">
        <f>HYPERLINK("https%3A%2F%2Fwww.webofscience.com%2Fwos%2Fwoscc%2Ffull-record%2FWOS:000238148200023","View Full Record in Web of Science")</f>
        <v>View Full Record in Web of Science</v>
      </c>
    </row>
    <row r="332" spans="1:72" x14ac:dyDescent="0.15">
      <c r="A332" t="s">
        <v>72</v>
      </c>
      <c r="B332" t="s">
        <v>5338</v>
      </c>
      <c r="C332" t="s">
        <v>74</v>
      </c>
      <c r="D332" t="s">
        <v>74</v>
      </c>
      <c r="E332" t="s">
        <v>74</v>
      </c>
      <c r="F332" t="s">
        <v>5339</v>
      </c>
      <c r="G332" t="s">
        <v>74</v>
      </c>
      <c r="H332" t="s">
        <v>74</v>
      </c>
      <c r="I332" t="s">
        <v>5340</v>
      </c>
      <c r="J332" t="s">
        <v>852</v>
      </c>
      <c r="K332" t="s">
        <v>74</v>
      </c>
      <c r="L332" t="s">
        <v>74</v>
      </c>
      <c r="M332" t="s">
        <v>78</v>
      </c>
      <c r="N332" t="s">
        <v>79</v>
      </c>
      <c r="O332" t="s">
        <v>74</v>
      </c>
      <c r="P332" t="s">
        <v>74</v>
      </c>
      <c r="Q332" t="s">
        <v>74</v>
      </c>
      <c r="R332" t="s">
        <v>74</v>
      </c>
      <c r="S332" t="s">
        <v>74</v>
      </c>
      <c r="T332" t="s">
        <v>74</v>
      </c>
      <c r="U332" t="s">
        <v>5341</v>
      </c>
      <c r="V332" t="s">
        <v>5342</v>
      </c>
      <c r="W332" t="s">
        <v>5343</v>
      </c>
      <c r="X332" t="s">
        <v>5344</v>
      </c>
      <c r="Y332" t="s">
        <v>5321</v>
      </c>
      <c r="Z332" t="s">
        <v>5322</v>
      </c>
      <c r="AA332" t="s">
        <v>5345</v>
      </c>
      <c r="AB332" t="s">
        <v>5324</v>
      </c>
      <c r="AC332" t="s">
        <v>74</v>
      </c>
      <c r="AD332" t="s">
        <v>74</v>
      </c>
      <c r="AE332" t="s">
        <v>74</v>
      </c>
      <c r="AF332" t="s">
        <v>74</v>
      </c>
      <c r="AG332">
        <v>37</v>
      </c>
      <c r="AH332">
        <v>63</v>
      </c>
      <c r="AI332">
        <v>72</v>
      </c>
      <c r="AJ332">
        <v>0</v>
      </c>
      <c r="AK332">
        <v>11</v>
      </c>
      <c r="AL332" t="s">
        <v>861</v>
      </c>
      <c r="AM332" t="s">
        <v>862</v>
      </c>
      <c r="AN332" t="s">
        <v>863</v>
      </c>
      <c r="AO332" t="s">
        <v>864</v>
      </c>
      <c r="AP332" t="s">
        <v>865</v>
      </c>
      <c r="AQ332" t="s">
        <v>74</v>
      </c>
      <c r="AR332" t="s">
        <v>866</v>
      </c>
      <c r="AS332" t="s">
        <v>867</v>
      </c>
      <c r="AT332" t="s">
        <v>5107</v>
      </c>
      <c r="AU332">
        <v>2006</v>
      </c>
      <c r="AV332">
        <v>19</v>
      </c>
      <c r="AW332">
        <v>11</v>
      </c>
      <c r="AX332" t="s">
        <v>74</v>
      </c>
      <c r="AY332" t="s">
        <v>74</v>
      </c>
      <c r="AZ332" t="s">
        <v>74</v>
      </c>
      <c r="BA332" t="s">
        <v>74</v>
      </c>
      <c r="BB332">
        <v>2567</v>
      </c>
      <c r="BC332">
        <v>2583</v>
      </c>
      <c r="BD332" t="s">
        <v>74</v>
      </c>
      <c r="BE332" t="s">
        <v>5346</v>
      </c>
      <c r="BF332" t="str">
        <f>HYPERLINK("http://dx.doi.org/10.1175/JCLI3754.1","http://dx.doi.org/10.1175/JCLI3754.1")</f>
        <v>http://dx.doi.org/10.1175/JCLI3754.1</v>
      </c>
      <c r="BG332" t="s">
        <v>74</v>
      </c>
      <c r="BH332" t="s">
        <v>74</v>
      </c>
      <c r="BI332">
        <v>17</v>
      </c>
      <c r="BJ332" t="s">
        <v>869</v>
      </c>
      <c r="BK332" t="s">
        <v>97</v>
      </c>
      <c r="BL332" t="s">
        <v>869</v>
      </c>
      <c r="BM332" t="s">
        <v>5288</v>
      </c>
      <c r="BN332" t="s">
        <v>74</v>
      </c>
      <c r="BO332" t="s">
        <v>460</v>
      </c>
      <c r="BP332" t="s">
        <v>74</v>
      </c>
      <c r="BQ332" t="s">
        <v>74</v>
      </c>
      <c r="BR332" t="s">
        <v>100</v>
      </c>
      <c r="BS332" t="s">
        <v>5347</v>
      </c>
      <c r="BT332" t="str">
        <f>HYPERLINK("https%3A%2F%2Fwww.webofscience.com%2Fwos%2Fwoscc%2Ffull-record%2FWOS:000238148200024","View Full Record in Web of Science")</f>
        <v>View Full Record in Web of Science</v>
      </c>
    </row>
    <row r="333" spans="1:72" x14ac:dyDescent="0.15">
      <c r="A333" t="s">
        <v>72</v>
      </c>
      <c r="B333" t="s">
        <v>5348</v>
      </c>
      <c r="C333" t="s">
        <v>74</v>
      </c>
      <c r="D333" t="s">
        <v>74</v>
      </c>
      <c r="E333" t="s">
        <v>74</v>
      </c>
      <c r="F333" t="s">
        <v>5349</v>
      </c>
      <c r="G333" t="s">
        <v>74</v>
      </c>
      <c r="H333" t="s">
        <v>74</v>
      </c>
      <c r="I333" t="s">
        <v>5350</v>
      </c>
      <c r="J333" t="s">
        <v>5351</v>
      </c>
      <c r="K333" t="s">
        <v>74</v>
      </c>
      <c r="L333" t="s">
        <v>74</v>
      </c>
      <c r="M333" t="s">
        <v>78</v>
      </c>
      <c r="N333" t="s">
        <v>79</v>
      </c>
      <c r="O333" t="s">
        <v>74</v>
      </c>
      <c r="P333" t="s">
        <v>74</v>
      </c>
      <c r="Q333" t="s">
        <v>74</v>
      </c>
      <c r="R333" t="s">
        <v>74</v>
      </c>
      <c r="S333" t="s">
        <v>74</v>
      </c>
      <c r="T333" t="s">
        <v>5352</v>
      </c>
      <c r="U333" t="s">
        <v>5353</v>
      </c>
      <c r="V333" t="s">
        <v>5354</v>
      </c>
      <c r="W333" t="s">
        <v>5355</v>
      </c>
      <c r="X333" t="s">
        <v>5356</v>
      </c>
      <c r="Y333" t="s">
        <v>5357</v>
      </c>
      <c r="Z333" t="s">
        <v>5358</v>
      </c>
      <c r="AA333" t="s">
        <v>5359</v>
      </c>
      <c r="AB333" t="s">
        <v>5360</v>
      </c>
      <c r="AC333" t="s">
        <v>74</v>
      </c>
      <c r="AD333" t="s">
        <v>74</v>
      </c>
      <c r="AE333" t="s">
        <v>74</v>
      </c>
      <c r="AF333" t="s">
        <v>74</v>
      </c>
      <c r="AG333">
        <v>32</v>
      </c>
      <c r="AH333">
        <v>45</v>
      </c>
      <c r="AI333">
        <v>53</v>
      </c>
      <c r="AJ333">
        <v>1</v>
      </c>
      <c r="AK333">
        <v>31</v>
      </c>
      <c r="AL333" t="s">
        <v>5361</v>
      </c>
      <c r="AM333" t="s">
        <v>5362</v>
      </c>
      <c r="AN333" t="s">
        <v>5363</v>
      </c>
      <c r="AO333" t="s">
        <v>5364</v>
      </c>
      <c r="AP333" t="s">
        <v>5365</v>
      </c>
      <c r="AQ333" t="s">
        <v>74</v>
      </c>
      <c r="AR333" t="s">
        <v>5366</v>
      </c>
      <c r="AS333" t="s">
        <v>5367</v>
      </c>
      <c r="AT333" t="s">
        <v>5107</v>
      </c>
      <c r="AU333">
        <v>2006</v>
      </c>
      <c r="AV333">
        <v>209</v>
      </c>
      <c r="AW333">
        <v>11</v>
      </c>
      <c r="AX333" t="s">
        <v>74</v>
      </c>
      <c r="AY333" t="s">
        <v>74</v>
      </c>
      <c r="AZ333" t="s">
        <v>74</v>
      </c>
      <c r="BA333" t="s">
        <v>74</v>
      </c>
      <c r="BB333">
        <v>2165</v>
      </c>
      <c r="BC333">
        <v>2169</v>
      </c>
      <c r="BD333" t="s">
        <v>74</v>
      </c>
      <c r="BE333" t="s">
        <v>5368</v>
      </c>
      <c r="BF333" t="str">
        <f>HYPERLINK("http://dx.doi.org/10.1242/jeb.02252","http://dx.doi.org/10.1242/jeb.02252")</f>
        <v>http://dx.doi.org/10.1242/jeb.02252</v>
      </c>
      <c r="BG333" t="s">
        <v>74</v>
      </c>
      <c r="BH333" t="s">
        <v>74</v>
      </c>
      <c r="BI333">
        <v>5</v>
      </c>
      <c r="BJ333" t="s">
        <v>5369</v>
      </c>
      <c r="BK333" t="s">
        <v>97</v>
      </c>
      <c r="BL333" t="s">
        <v>5370</v>
      </c>
      <c r="BM333" t="s">
        <v>5371</v>
      </c>
      <c r="BN333">
        <v>16709918</v>
      </c>
      <c r="BO333" t="s">
        <v>74</v>
      </c>
      <c r="BP333" t="s">
        <v>74</v>
      </c>
      <c r="BQ333" t="s">
        <v>74</v>
      </c>
      <c r="BR333" t="s">
        <v>100</v>
      </c>
      <c r="BS333" t="s">
        <v>5372</v>
      </c>
      <c r="BT333" t="str">
        <f>HYPERLINK("https%3A%2F%2Fwww.webofscience.com%2Fwos%2Fwoscc%2Ffull-record%2FWOS:000237643700024","View Full Record in Web of Science")</f>
        <v>View Full Record in Web of Science</v>
      </c>
    </row>
    <row r="334" spans="1:72" x14ac:dyDescent="0.15">
      <c r="A334" t="s">
        <v>72</v>
      </c>
      <c r="B334" t="s">
        <v>5373</v>
      </c>
      <c r="C334" t="s">
        <v>74</v>
      </c>
      <c r="D334" t="s">
        <v>74</v>
      </c>
      <c r="E334" t="s">
        <v>74</v>
      </c>
      <c r="F334" t="s">
        <v>5373</v>
      </c>
      <c r="G334" t="s">
        <v>74</v>
      </c>
      <c r="H334" t="s">
        <v>74</v>
      </c>
      <c r="I334" t="s">
        <v>5374</v>
      </c>
      <c r="J334" t="s">
        <v>5375</v>
      </c>
      <c r="K334" t="s">
        <v>74</v>
      </c>
      <c r="L334" t="s">
        <v>74</v>
      </c>
      <c r="M334" t="s">
        <v>78</v>
      </c>
      <c r="N334" t="s">
        <v>79</v>
      </c>
      <c r="O334" t="s">
        <v>74</v>
      </c>
      <c r="P334" t="s">
        <v>74</v>
      </c>
      <c r="Q334" t="s">
        <v>74</v>
      </c>
      <c r="R334" t="s">
        <v>74</v>
      </c>
      <c r="S334" t="s">
        <v>74</v>
      </c>
      <c r="T334" t="s">
        <v>5376</v>
      </c>
      <c r="U334" t="s">
        <v>5377</v>
      </c>
      <c r="V334" t="s">
        <v>5378</v>
      </c>
      <c r="W334" t="s">
        <v>5379</v>
      </c>
      <c r="X334" t="s">
        <v>5380</v>
      </c>
      <c r="Y334" t="s">
        <v>5381</v>
      </c>
      <c r="Z334" t="s">
        <v>5382</v>
      </c>
      <c r="AA334" t="s">
        <v>74</v>
      </c>
      <c r="AB334" t="s">
        <v>5383</v>
      </c>
      <c r="AC334" t="s">
        <v>74</v>
      </c>
      <c r="AD334" t="s">
        <v>74</v>
      </c>
      <c r="AE334" t="s">
        <v>74</v>
      </c>
      <c r="AF334" t="s">
        <v>74</v>
      </c>
      <c r="AG334">
        <v>80</v>
      </c>
      <c r="AH334">
        <v>27</v>
      </c>
      <c r="AI334">
        <v>30</v>
      </c>
      <c r="AJ334">
        <v>0</v>
      </c>
      <c r="AK334">
        <v>12</v>
      </c>
      <c r="AL334" t="s">
        <v>840</v>
      </c>
      <c r="AM334" t="s">
        <v>388</v>
      </c>
      <c r="AN334" t="s">
        <v>841</v>
      </c>
      <c r="AO334" t="s">
        <v>5384</v>
      </c>
      <c r="AP334" t="s">
        <v>74</v>
      </c>
      <c r="AQ334" t="s">
        <v>74</v>
      </c>
      <c r="AR334" t="s">
        <v>5385</v>
      </c>
      <c r="AS334" t="s">
        <v>5386</v>
      </c>
      <c r="AT334" t="s">
        <v>4479</v>
      </c>
      <c r="AU334">
        <v>2006</v>
      </c>
      <c r="AV334">
        <v>68</v>
      </c>
      <c r="AW334">
        <v>6</v>
      </c>
      <c r="AX334" t="s">
        <v>74</v>
      </c>
      <c r="AY334" t="s">
        <v>74</v>
      </c>
      <c r="AZ334" t="s">
        <v>74</v>
      </c>
      <c r="BA334" t="s">
        <v>74</v>
      </c>
      <c r="BB334">
        <v>1834</v>
      </c>
      <c r="BC334">
        <v>1866</v>
      </c>
      <c r="BD334" t="s">
        <v>74</v>
      </c>
      <c r="BE334" t="s">
        <v>5387</v>
      </c>
      <c r="BF334" t="str">
        <f>HYPERLINK("http://dx.doi.org/10.1111/j.1095-8649.2006.01076.x","http://dx.doi.org/10.1111/j.1095-8649.2006.01076.x")</f>
        <v>http://dx.doi.org/10.1111/j.1095-8649.2006.01076.x</v>
      </c>
      <c r="BG334" t="s">
        <v>74</v>
      </c>
      <c r="BH334" t="s">
        <v>74</v>
      </c>
      <c r="BI334">
        <v>33</v>
      </c>
      <c r="BJ334" t="s">
        <v>4874</v>
      </c>
      <c r="BK334" t="s">
        <v>97</v>
      </c>
      <c r="BL334" t="s">
        <v>4874</v>
      </c>
      <c r="BM334" t="s">
        <v>5388</v>
      </c>
      <c r="BN334" t="s">
        <v>74</v>
      </c>
      <c r="BO334" t="s">
        <v>460</v>
      </c>
      <c r="BP334" t="s">
        <v>74</v>
      </c>
      <c r="BQ334" t="s">
        <v>74</v>
      </c>
      <c r="BR334" t="s">
        <v>100</v>
      </c>
      <c r="BS334" t="s">
        <v>5389</v>
      </c>
      <c r="BT334" t="str">
        <f>HYPERLINK("https%3A%2F%2Fwww.webofscience.com%2Fwos%2Fwoscc%2Ffull-record%2FWOS:000238652100016","View Full Record in Web of Science")</f>
        <v>View Full Record in Web of Science</v>
      </c>
    </row>
    <row r="335" spans="1:72" x14ac:dyDescent="0.15">
      <c r="A335" t="s">
        <v>72</v>
      </c>
      <c r="B335" t="s">
        <v>5390</v>
      </c>
      <c r="C335" t="s">
        <v>74</v>
      </c>
      <c r="D335" t="s">
        <v>74</v>
      </c>
      <c r="E335" t="s">
        <v>74</v>
      </c>
      <c r="F335" t="s">
        <v>5390</v>
      </c>
      <c r="G335" t="s">
        <v>74</v>
      </c>
      <c r="H335" t="s">
        <v>74</v>
      </c>
      <c r="I335" t="s">
        <v>5391</v>
      </c>
      <c r="J335" t="s">
        <v>5392</v>
      </c>
      <c r="K335" t="s">
        <v>74</v>
      </c>
      <c r="L335" t="s">
        <v>74</v>
      </c>
      <c r="M335" t="s">
        <v>78</v>
      </c>
      <c r="N335" t="s">
        <v>79</v>
      </c>
      <c r="O335" t="s">
        <v>74</v>
      </c>
      <c r="P335" t="s">
        <v>74</v>
      </c>
      <c r="Q335" t="s">
        <v>74</v>
      </c>
      <c r="R335" t="s">
        <v>74</v>
      </c>
      <c r="S335" t="s">
        <v>74</v>
      </c>
      <c r="T335" t="s">
        <v>74</v>
      </c>
      <c r="U335" t="s">
        <v>5393</v>
      </c>
      <c r="V335" t="s">
        <v>5394</v>
      </c>
      <c r="W335" t="s">
        <v>5395</v>
      </c>
      <c r="X335" t="s">
        <v>5396</v>
      </c>
      <c r="Y335" t="s">
        <v>5397</v>
      </c>
      <c r="Z335" t="s">
        <v>5398</v>
      </c>
      <c r="AA335" t="s">
        <v>5399</v>
      </c>
      <c r="AB335" t="s">
        <v>5400</v>
      </c>
      <c r="AC335" t="s">
        <v>74</v>
      </c>
      <c r="AD335" t="s">
        <v>74</v>
      </c>
      <c r="AE335" t="s">
        <v>74</v>
      </c>
      <c r="AF335" t="s">
        <v>74</v>
      </c>
      <c r="AG335">
        <v>37</v>
      </c>
      <c r="AH335">
        <v>10</v>
      </c>
      <c r="AI335">
        <v>11</v>
      </c>
      <c r="AJ335">
        <v>0</v>
      </c>
      <c r="AK335">
        <v>9</v>
      </c>
      <c r="AL335" t="s">
        <v>580</v>
      </c>
      <c r="AM335" t="s">
        <v>388</v>
      </c>
      <c r="AN335" t="s">
        <v>581</v>
      </c>
      <c r="AO335" t="s">
        <v>5401</v>
      </c>
      <c r="AP335" t="s">
        <v>74</v>
      </c>
      <c r="AQ335" t="s">
        <v>74</v>
      </c>
      <c r="AR335" t="s">
        <v>5402</v>
      </c>
      <c r="AS335" t="s">
        <v>5403</v>
      </c>
      <c r="AT335" t="s">
        <v>4479</v>
      </c>
      <c r="AU335">
        <v>2006</v>
      </c>
      <c r="AV335">
        <v>28</v>
      </c>
      <c r="AW335">
        <v>6</v>
      </c>
      <c r="AX335" t="s">
        <v>74</v>
      </c>
      <c r="AY335" t="s">
        <v>74</v>
      </c>
      <c r="AZ335" t="s">
        <v>74</v>
      </c>
      <c r="BA335" t="s">
        <v>74</v>
      </c>
      <c r="BB335">
        <v>563</v>
      </c>
      <c r="BC335">
        <v>570</v>
      </c>
      <c r="BD335" t="s">
        <v>74</v>
      </c>
      <c r="BE335" t="s">
        <v>5404</v>
      </c>
      <c r="BF335" t="str">
        <f>HYPERLINK("http://dx.doi.org/10.1093/plankt/fbi141","http://dx.doi.org/10.1093/plankt/fbi141")</f>
        <v>http://dx.doi.org/10.1093/plankt/fbi141</v>
      </c>
      <c r="BG335" t="s">
        <v>74</v>
      </c>
      <c r="BH335" t="s">
        <v>74</v>
      </c>
      <c r="BI335">
        <v>8</v>
      </c>
      <c r="BJ335" t="s">
        <v>3284</v>
      </c>
      <c r="BK335" t="s">
        <v>97</v>
      </c>
      <c r="BL335" t="s">
        <v>3284</v>
      </c>
      <c r="BM335" t="s">
        <v>5405</v>
      </c>
      <c r="BN335" t="s">
        <v>74</v>
      </c>
      <c r="BO335" t="s">
        <v>460</v>
      </c>
      <c r="BP335" t="s">
        <v>74</v>
      </c>
      <c r="BQ335" t="s">
        <v>74</v>
      </c>
      <c r="BR335" t="s">
        <v>100</v>
      </c>
      <c r="BS335" t="s">
        <v>5406</v>
      </c>
      <c r="BT335" t="str">
        <f>HYPERLINK("https%3A%2F%2Fwww.webofscience.com%2Fwos%2Fwoscc%2Ffull-record%2FWOS:000238768800004","View Full Record in Web of Science")</f>
        <v>View Full Record in Web of Science</v>
      </c>
    </row>
    <row r="336" spans="1:72" x14ac:dyDescent="0.15">
      <c r="A336" t="s">
        <v>72</v>
      </c>
      <c r="B336" t="s">
        <v>5407</v>
      </c>
      <c r="C336" t="s">
        <v>74</v>
      </c>
      <c r="D336" t="s">
        <v>74</v>
      </c>
      <c r="E336" t="s">
        <v>74</v>
      </c>
      <c r="F336" t="s">
        <v>5407</v>
      </c>
      <c r="G336" t="s">
        <v>74</v>
      </c>
      <c r="H336" t="s">
        <v>74</v>
      </c>
      <c r="I336" t="s">
        <v>5408</v>
      </c>
      <c r="J336" t="s">
        <v>5409</v>
      </c>
      <c r="K336" t="s">
        <v>74</v>
      </c>
      <c r="L336" t="s">
        <v>74</v>
      </c>
      <c r="M336" t="s">
        <v>78</v>
      </c>
      <c r="N336" t="s">
        <v>79</v>
      </c>
      <c r="O336" t="s">
        <v>74</v>
      </c>
      <c r="P336" t="s">
        <v>74</v>
      </c>
      <c r="Q336" t="s">
        <v>74</v>
      </c>
      <c r="R336" t="s">
        <v>74</v>
      </c>
      <c r="S336" t="s">
        <v>74</v>
      </c>
      <c r="T336" t="s">
        <v>5410</v>
      </c>
      <c r="U336" t="s">
        <v>5411</v>
      </c>
      <c r="V336" t="s">
        <v>5412</v>
      </c>
      <c r="W336" t="s">
        <v>5413</v>
      </c>
      <c r="X336" t="s">
        <v>5414</v>
      </c>
      <c r="Y336" t="s">
        <v>5415</v>
      </c>
      <c r="Z336" t="s">
        <v>5416</v>
      </c>
      <c r="AA336" t="s">
        <v>74</v>
      </c>
      <c r="AB336" t="s">
        <v>5417</v>
      </c>
      <c r="AC336" t="s">
        <v>5264</v>
      </c>
      <c r="AD336" t="s">
        <v>1328</v>
      </c>
      <c r="AE336" t="s">
        <v>74</v>
      </c>
      <c r="AF336" t="s">
        <v>74</v>
      </c>
      <c r="AG336">
        <v>27</v>
      </c>
      <c r="AH336">
        <v>12</v>
      </c>
      <c r="AI336">
        <v>12</v>
      </c>
      <c r="AJ336">
        <v>2</v>
      </c>
      <c r="AK336">
        <v>7</v>
      </c>
      <c r="AL336" t="s">
        <v>387</v>
      </c>
      <c r="AM336" t="s">
        <v>388</v>
      </c>
      <c r="AN336" t="s">
        <v>389</v>
      </c>
      <c r="AO336" t="s">
        <v>5418</v>
      </c>
      <c r="AP336" t="s">
        <v>5419</v>
      </c>
      <c r="AQ336" t="s">
        <v>74</v>
      </c>
      <c r="AR336" t="s">
        <v>5420</v>
      </c>
      <c r="AS336" t="s">
        <v>5421</v>
      </c>
      <c r="AT336" t="s">
        <v>4479</v>
      </c>
      <c r="AU336">
        <v>2006</v>
      </c>
      <c r="AV336">
        <v>54</v>
      </c>
      <c r="AW336">
        <v>6</v>
      </c>
      <c r="AX336" t="s">
        <v>74</v>
      </c>
      <c r="AY336" t="s">
        <v>74</v>
      </c>
      <c r="AZ336" t="s">
        <v>74</v>
      </c>
      <c r="BA336" t="s">
        <v>74</v>
      </c>
      <c r="BB336">
        <v>1147</v>
      </c>
      <c r="BC336">
        <v>1185</v>
      </c>
      <c r="BD336" t="s">
        <v>74</v>
      </c>
      <c r="BE336" t="s">
        <v>5422</v>
      </c>
      <c r="BF336" t="str">
        <f>HYPERLINK("http://dx.doi.org/10.1016/j.jmps.2005.12.006","http://dx.doi.org/10.1016/j.jmps.2005.12.006")</f>
        <v>http://dx.doi.org/10.1016/j.jmps.2005.12.006</v>
      </c>
      <c r="BG336" t="s">
        <v>74</v>
      </c>
      <c r="BH336" t="s">
        <v>74</v>
      </c>
      <c r="BI336">
        <v>39</v>
      </c>
      <c r="BJ336" t="s">
        <v>5423</v>
      </c>
      <c r="BK336" t="s">
        <v>97</v>
      </c>
      <c r="BL336" t="s">
        <v>5424</v>
      </c>
      <c r="BM336" t="s">
        <v>5425</v>
      </c>
      <c r="BN336" t="s">
        <v>74</v>
      </c>
      <c r="BO336" t="s">
        <v>74</v>
      </c>
      <c r="BP336" t="s">
        <v>74</v>
      </c>
      <c r="BQ336" t="s">
        <v>74</v>
      </c>
      <c r="BR336" t="s">
        <v>100</v>
      </c>
      <c r="BS336" t="s">
        <v>5426</v>
      </c>
      <c r="BT336" t="str">
        <f>HYPERLINK("https%3A%2F%2Fwww.webofscience.com%2Fwos%2Fwoscc%2Ffull-record%2FWOS:000237160000003","View Full Record in Web of Science")</f>
        <v>View Full Record in Web of Science</v>
      </c>
    </row>
    <row r="337" spans="1:72" x14ac:dyDescent="0.15">
      <c r="A337" t="s">
        <v>72</v>
      </c>
      <c r="B337" t="s">
        <v>5427</v>
      </c>
      <c r="C337" t="s">
        <v>74</v>
      </c>
      <c r="D337" t="s">
        <v>74</v>
      </c>
      <c r="E337" t="s">
        <v>74</v>
      </c>
      <c r="F337" t="s">
        <v>5428</v>
      </c>
      <c r="G337" t="s">
        <v>74</v>
      </c>
      <c r="H337" t="s">
        <v>74</v>
      </c>
      <c r="I337" t="s">
        <v>5429</v>
      </c>
      <c r="J337" t="s">
        <v>5430</v>
      </c>
      <c r="K337" t="s">
        <v>74</v>
      </c>
      <c r="L337" t="s">
        <v>74</v>
      </c>
      <c r="M337" t="s">
        <v>78</v>
      </c>
      <c r="N337" t="s">
        <v>79</v>
      </c>
      <c r="O337" t="s">
        <v>74</v>
      </c>
      <c r="P337" t="s">
        <v>74</v>
      </c>
      <c r="Q337" t="s">
        <v>74</v>
      </c>
      <c r="R337" t="s">
        <v>74</v>
      </c>
      <c r="S337" t="s">
        <v>74</v>
      </c>
      <c r="T337" t="s">
        <v>74</v>
      </c>
      <c r="U337" t="s">
        <v>5431</v>
      </c>
      <c r="V337" t="s">
        <v>5432</v>
      </c>
      <c r="W337" t="s">
        <v>5433</v>
      </c>
      <c r="X337" t="s">
        <v>5434</v>
      </c>
      <c r="Y337" t="s">
        <v>5435</v>
      </c>
      <c r="Z337" t="s">
        <v>5436</v>
      </c>
      <c r="AA337" t="s">
        <v>5437</v>
      </c>
      <c r="AB337" t="s">
        <v>74</v>
      </c>
      <c r="AC337" t="s">
        <v>74</v>
      </c>
      <c r="AD337" t="s">
        <v>74</v>
      </c>
      <c r="AE337" t="s">
        <v>74</v>
      </c>
      <c r="AF337" t="s">
        <v>74</v>
      </c>
      <c r="AG337">
        <v>25</v>
      </c>
      <c r="AH337">
        <v>10</v>
      </c>
      <c r="AI337">
        <v>11</v>
      </c>
      <c r="AJ337">
        <v>0</v>
      </c>
      <c r="AK337">
        <v>7</v>
      </c>
      <c r="AL337" t="s">
        <v>5438</v>
      </c>
      <c r="AM337" t="s">
        <v>5015</v>
      </c>
      <c r="AN337" t="s">
        <v>5439</v>
      </c>
      <c r="AO337" t="s">
        <v>5440</v>
      </c>
      <c r="AP337" t="s">
        <v>5441</v>
      </c>
      <c r="AQ337" t="s">
        <v>74</v>
      </c>
      <c r="AR337" t="s">
        <v>5442</v>
      </c>
      <c r="AS337" t="s">
        <v>5443</v>
      </c>
      <c r="AT337" t="s">
        <v>4479</v>
      </c>
      <c r="AU337">
        <v>2006</v>
      </c>
      <c r="AV337">
        <v>84</v>
      </c>
      <c r="AW337">
        <v>3</v>
      </c>
      <c r="AX337" t="s">
        <v>74</v>
      </c>
      <c r="AY337" t="s">
        <v>74</v>
      </c>
      <c r="AZ337" t="s">
        <v>74</v>
      </c>
      <c r="BA337" t="s">
        <v>74</v>
      </c>
      <c r="BB337">
        <v>433</v>
      </c>
      <c r="BC337">
        <v>445</v>
      </c>
      <c r="BD337" t="s">
        <v>74</v>
      </c>
      <c r="BE337" t="s">
        <v>5444</v>
      </c>
      <c r="BF337" t="str">
        <f>HYPERLINK("http://dx.doi.org/10.2151/jmsj.84.433","http://dx.doi.org/10.2151/jmsj.84.433")</f>
        <v>http://dx.doi.org/10.2151/jmsj.84.433</v>
      </c>
      <c r="BG337" t="s">
        <v>74</v>
      </c>
      <c r="BH337" t="s">
        <v>74</v>
      </c>
      <c r="BI337">
        <v>13</v>
      </c>
      <c r="BJ337" t="s">
        <v>869</v>
      </c>
      <c r="BK337" t="s">
        <v>97</v>
      </c>
      <c r="BL337" t="s">
        <v>869</v>
      </c>
      <c r="BM337" t="s">
        <v>5445</v>
      </c>
      <c r="BN337" t="s">
        <v>74</v>
      </c>
      <c r="BO337" t="s">
        <v>460</v>
      </c>
      <c r="BP337" t="s">
        <v>74</v>
      </c>
      <c r="BQ337" t="s">
        <v>74</v>
      </c>
      <c r="BR337" t="s">
        <v>100</v>
      </c>
      <c r="BS337" t="s">
        <v>5446</v>
      </c>
      <c r="BT337" t="str">
        <f>HYPERLINK("https%3A%2F%2Fwww.webofscience.com%2Fwos%2Fwoscc%2Ffull-record%2FWOS:000239669800001","View Full Record in Web of Science")</f>
        <v>View Full Record in Web of Science</v>
      </c>
    </row>
    <row r="338" spans="1:72" x14ac:dyDescent="0.15">
      <c r="A338" t="s">
        <v>72</v>
      </c>
      <c r="B338" t="s">
        <v>5447</v>
      </c>
      <c r="C338" t="s">
        <v>74</v>
      </c>
      <c r="D338" t="s">
        <v>74</v>
      </c>
      <c r="E338" t="s">
        <v>74</v>
      </c>
      <c r="F338" t="s">
        <v>5448</v>
      </c>
      <c r="G338" t="s">
        <v>74</v>
      </c>
      <c r="H338" t="s">
        <v>74</v>
      </c>
      <c r="I338" t="s">
        <v>5449</v>
      </c>
      <c r="J338" t="s">
        <v>1205</v>
      </c>
      <c r="K338" t="s">
        <v>74</v>
      </c>
      <c r="L338" t="s">
        <v>74</v>
      </c>
      <c r="M338" t="s">
        <v>78</v>
      </c>
      <c r="N338" t="s">
        <v>79</v>
      </c>
      <c r="O338" t="s">
        <v>74</v>
      </c>
      <c r="P338" t="s">
        <v>74</v>
      </c>
      <c r="Q338" t="s">
        <v>74</v>
      </c>
      <c r="R338" t="s">
        <v>74</v>
      </c>
      <c r="S338" t="s">
        <v>74</v>
      </c>
      <c r="T338" t="s">
        <v>5450</v>
      </c>
      <c r="U338" t="s">
        <v>5451</v>
      </c>
      <c r="V338" t="s">
        <v>5452</v>
      </c>
      <c r="W338" t="s">
        <v>5453</v>
      </c>
      <c r="X338" t="s">
        <v>5454</v>
      </c>
      <c r="Y338" t="s">
        <v>5455</v>
      </c>
      <c r="Z338" t="s">
        <v>5456</v>
      </c>
      <c r="AA338" t="s">
        <v>5457</v>
      </c>
      <c r="AB338" t="s">
        <v>5458</v>
      </c>
      <c r="AC338" t="s">
        <v>74</v>
      </c>
      <c r="AD338" t="s">
        <v>74</v>
      </c>
      <c r="AE338" t="s">
        <v>74</v>
      </c>
      <c r="AF338" t="s">
        <v>74</v>
      </c>
      <c r="AG338">
        <v>40</v>
      </c>
      <c r="AH338">
        <v>61</v>
      </c>
      <c r="AI338">
        <v>64</v>
      </c>
      <c r="AJ338">
        <v>0</v>
      </c>
      <c r="AK338">
        <v>26</v>
      </c>
      <c r="AL338" t="s">
        <v>115</v>
      </c>
      <c r="AM338" t="s">
        <v>116</v>
      </c>
      <c r="AN338" t="s">
        <v>117</v>
      </c>
      <c r="AO338" t="s">
        <v>1215</v>
      </c>
      <c r="AP338" t="s">
        <v>1216</v>
      </c>
      <c r="AQ338" t="s">
        <v>74</v>
      </c>
      <c r="AR338" t="s">
        <v>1217</v>
      </c>
      <c r="AS338" t="s">
        <v>1218</v>
      </c>
      <c r="AT338" t="s">
        <v>4479</v>
      </c>
      <c r="AU338">
        <v>2006</v>
      </c>
      <c r="AV338">
        <v>269</v>
      </c>
      <c r="AW338">
        <v>2</v>
      </c>
      <c r="AX338" t="s">
        <v>74</v>
      </c>
      <c r="AY338" t="s">
        <v>74</v>
      </c>
      <c r="AZ338" t="s">
        <v>74</v>
      </c>
      <c r="BA338" t="s">
        <v>74</v>
      </c>
      <c r="BB338">
        <v>233</v>
      </c>
      <c r="BC338">
        <v>240</v>
      </c>
      <c r="BD338" t="s">
        <v>74</v>
      </c>
      <c r="BE338" t="s">
        <v>5459</v>
      </c>
      <c r="BF338" t="str">
        <f>HYPERLINK("http://dx.doi.org/10.1111/j.1469-7998.2006.00059.x","http://dx.doi.org/10.1111/j.1469-7998.2006.00059.x")</f>
        <v>http://dx.doi.org/10.1111/j.1469-7998.2006.00059.x</v>
      </c>
      <c r="BG338" t="s">
        <v>74</v>
      </c>
      <c r="BH338" t="s">
        <v>74</v>
      </c>
      <c r="BI338">
        <v>8</v>
      </c>
      <c r="BJ338" t="s">
        <v>1000</v>
      </c>
      <c r="BK338" t="s">
        <v>97</v>
      </c>
      <c r="BL338" t="s">
        <v>1000</v>
      </c>
      <c r="BM338" t="s">
        <v>5460</v>
      </c>
      <c r="BN338" t="s">
        <v>74</v>
      </c>
      <c r="BO338" t="s">
        <v>74</v>
      </c>
      <c r="BP338" t="s">
        <v>74</v>
      </c>
      <c r="BQ338" t="s">
        <v>74</v>
      </c>
      <c r="BR338" t="s">
        <v>100</v>
      </c>
      <c r="BS338" t="s">
        <v>5461</v>
      </c>
      <c r="BT338" t="str">
        <f>HYPERLINK("https%3A%2F%2Fwww.webofscience.com%2Fwos%2Fwoscc%2Ffull-record%2FWOS:000237636500011","View Full Record in Web of Science")</f>
        <v>View Full Record in Web of Science</v>
      </c>
    </row>
    <row r="339" spans="1:72" x14ac:dyDescent="0.15">
      <c r="A339" t="s">
        <v>72</v>
      </c>
      <c r="B339" t="s">
        <v>5462</v>
      </c>
      <c r="C339" t="s">
        <v>74</v>
      </c>
      <c r="D339" t="s">
        <v>74</v>
      </c>
      <c r="E339" t="s">
        <v>74</v>
      </c>
      <c r="F339" t="s">
        <v>5463</v>
      </c>
      <c r="G339" t="s">
        <v>74</v>
      </c>
      <c r="H339" t="s">
        <v>74</v>
      </c>
      <c r="I339" t="s">
        <v>5464</v>
      </c>
      <c r="J339" t="s">
        <v>3290</v>
      </c>
      <c r="K339" t="s">
        <v>74</v>
      </c>
      <c r="L339" t="s">
        <v>74</v>
      </c>
      <c r="M339" t="s">
        <v>78</v>
      </c>
      <c r="N339" t="s">
        <v>79</v>
      </c>
      <c r="O339" t="s">
        <v>74</v>
      </c>
      <c r="P339" t="s">
        <v>74</v>
      </c>
      <c r="Q339" t="s">
        <v>74</v>
      </c>
      <c r="R339" t="s">
        <v>74</v>
      </c>
      <c r="S339" t="s">
        <v>74</v>
      </c>
      <c r="T339" t="s">
        <v>74</v>
      </c>
      <c r="U339" t="s">
        <v>5465</v>
      </c>
      <c r="V339" t="s">
        <v>5466</v>
      </c>
      <c r="W339" t="s">
        <v>5467</v>
      </c>
      <c r="X339" t="s">
        <v>5468</v>
      </c>
      <c r="Y339" t="s">
        <v>5381</v>
      </c>
      <c r="Z339" t="s">
        <v>5382</v>
      </c>
      <c r="AA339" t="s">
        <v>74</v>
      </c>
      <c r="AB339" t="s">
        <v>5469</v>
      </c>
      <c r="AC339" t="s">
        <v>74</v>
      </c>
      <c r="AD339" t="s">
        <v>74</v>
      </c>
      <c r="AE339" t="s">
        <v>74</v>
      </c>
      <c r="AF339" t="s">
        <v>74</v>
      </c>
      <c r="AG339">
        <v>55</v>
      </c>
      <c r="AH339">
        <v>55</v>
      </c>
      <c r="AI339">
        <v>62</v>
      </c>
      <c r="AJ339">
        <v>0</v>
      </c>
      <c r="AK339">
        <v>28</v>
      </c>
      <c r="AL339" t="s">
        <v>1009</v>
      </c>
      <c r="AM339" t="s">
        <v>1010</v>
      </c>
      <c r="AN339" t="s">
        <v>1011</v>
      </c>
      <c r="AO339" t="s">
        <v>3297</v>
      </c>
      <c r="AP339" t="s">
        <v>3298</v>
      </c>
      <c r="AQ339" t="s">
        <v>74</v>
      </c>
      <c r="AR339" t="s">
        <v>3299</v>
      </c>
      <c r="AS339" t="s">
        <v>3300</v>
      </c>
      <c r="AT339" t="s">
        <v>4479</v>
      </c>
      <c r="AU339">
        <v>2006</v>
      </c>
      <c r="AV339">
        <v>149</v>
      </c>
      <c r="AW339">
        <v>3</v>
      </c>
      <c r="AX339" t="s">
        <v>74</v>
      </c>
      <c r="AY339" t="s">
        <v>74</v>
      </c>
      <c r="AZ339" t="s">
        <v>74</v>
      </c>
      <c r="BA339" t="s">
        <v>74</v>
      </c>
      <c r="BB339">
        <v>609</v>
      </c>
      <c r="BC339">
        <v>623</v>
      </c>
      <c r="BD339" t="s">
        <v>74</v>
      </c>
      <c r="BE339" t="s">
        <v>5470</v>
      </c>
      <c r="BF339" t="str">
        <f>HYPERLINK("http://dx.doi.org/10.1007/s00227-005-0225-9","http://dx.doi.org/10.1007/s00227-005-0225-9")</f>
        <v>http://dx.doi.org/10.1007/s00227-005-0225-9</v>
      </c>
      <c r="BG339" t="s">
        <v>74</v>
      </c>
      <c r="BH339" t="s">
        <v>74</v>
      </c>
      <c r="BI339">
        <v>15</v>
      </c>
      <c r="BJ339" t="s">
        <v>1146</v>
      </c>
      <c r="BK339" t="s">
        <v>97</v>
      </c>
      <c r="BL339" t="s">
        <v>1146</v>
      </c>
      <c r="BM339" t="s">
        <v>5471</v>
      </c>
      <c r="BN339" t="s">
        <v>74</v>
      </c>
      <c r="BO339" t="s">
        <v>147</v>
      </c>
      <c r="BP339" t="s">
        <v>74</v>
      </c>
      <c r="BQ339" t="s">
        <v>74</v>
      </c>
      <c r="BR339" t="s">
        <v>100</v>
      </c>
      <c r="BS339" t="s">
        <v>5472</v>
      </c>
      <c r="BT339" t="str">
        <f>HYPERLINK("https%3A%2F%2Fwww.webofscience.com%2Fwos%2Fwoscc%2Ffull-record%2FWOS:000238327200018","View Full Record in Web of Science")</f>
        <v>View Full Record in Web of Science</v>
      </c>
    </row>
    <row r="340" spans="1:72" x14ac:dyDescent="0.15">
      <c r="A340" t="s">
        <v>72</v>
      </c>
      <c r="B340" t="s">
        <v>5473</v>
      </c>
      <c r="C340" t="s">
        <v>74</v>
      </c>
      <c r="D340" t="s">
        <v>74</v>
      </c>
      <c r="E340" t="s">
        <v>74</v>
      </c>
      <c r="F340" t="s">
        <v>5474</v>
      </c>
      <c r="G340" t="s">
        <v>74</v>
      </c>
      <c r="H340" t="s">
        <v>74</v>
      </c>
      <c r="I340" t="s">
        <v>5475</v>
      </c>
      <c r="J340" t="s">
        <v>3290</v>
      </c>
      <c r="K340" t="s">
        <v>74</v>
      </c>
      <c r="L340" t="s">
        <v>74</v>
      </c>
      <c r="M340" t="s">
        <v>78</v>
      </c>
      <c r="N340" t="s">
        <v>79</v>
      </c>
      <c r="O340" t="s">
        <v>74</v>
      </c>
      <c r="P340" t="s">
        <v>74</v>
      </c>
      <c r="Q340" t="s">
        <v>74</v>
      </c>
      <c r="R340" t="s">
        <v>74</v>
      </c>
      <c r="S340" t="s">
        <v>74</v>
      </c>
      <c r="T340" t="s">
        <v>74</v>
      </c>
      <c r="U340" t="s">
        <v>5476</v>
      </c>
      <c r="V340" t="s">
        <v>5477</v>
      </c>
      <c r="W340" t="s">
        <v>5478</v>
      </c>
      <c r="X340" t="s">
        <v>5479</v>
      </c>
      <c r="Y340" t="s">
        <v>5480</v>
      </c>
      <c r="Z340" t="s">
        <v>5481</v>
      </c>
      <c r="AA340" t="s">
        <v>74</v>
      </c>
      <c r="AB340" t="s">
        <v>74</v>
      </c>
      <c r="AC340" t="s">
        <v>74</v>
      </c>
      <c r="AD340" t="s">
        <v>74</v>
      </c>
      <c r="AE340" t="s">
        <v>74</v>
      </c>
      <c r="AF340" t="s">
        <v>74</v>
      </c>
      <c r="AG340">
        <v>43</v>
      </c>
      <c r="AH340">
        <v>33</v>
      </c>
      <c r="AI340">
        <v>35</v>
      </c>
      <c r="AJ340">
        <v>0</v>
      </c>
      <c r="AK340">
        <v>13</v>
      </c>
      <c r="AL340" t="s">
        <v>1009</v>
      </c>
      <c r="AM340" t="s">
        <v>1010</v>
      </c>
      <c r="AN340" t="s">
        <v>1011</v>
      </c>
      <c r="AO340" t="s">
        <v>3297</v>
      </c>
      <c r="AP340" t="s">
        <v>3298</v>
      </c>
      <c r="AQ340" t="s">
        <v>74</v>
      </c>
      <c r="AR340" t="s">
        <v>3299</v>
      </c>
      <c r="AS340" t="s">
        <v>3300</v>
      </c>
      <c r="AT340" t="s">
        <v>4479</v>
      </c>
      <c r="AU340">
        <v>2006</v>
      </c>
      <c r="AV340">
        <v>149</v>
      </c>
      <c r="AW340">
        <v>3</v>
      </c>
      <c r="AX340" t="s">
        <v>74</v>
      </c>
      <c r="AY340" t="s">
        <v>74</v>
      </c>
      <c r="AZ340" t="s">
        <v>74</v>
      </c>
      <c r="BA340" t="s">
        <v>74</v>
      </c>
      <c r="BB340">
        <v>625</v>
      </c>
      <c r="BC340">
        <v>632</v>
      </c>
      <c r="BD340" t="s">
        <v>74</v>
      </c>
      <c r="BE340" t="s">
        <v>5482</v>
      </c>
      <c r="BF340" t="str">
        <f>HYPERLINK("http://dx.doi.org/10.1007/s00227-005-0226-8","http://dx.doi.org/10.1007/s00227-005-0226-8")</f>
        <v>http://dx.doi.org/10.1007/s00227-005-0226-8</v>
      </c>
      <c r="BG340" t="s">
        <v>74</v>
      </c>
      <c r="BH340" t="s">
        <v>74</v>
      </c>
      <c r="BI340">
        <v>8</v>
      </c>
      <c r="BJ340" t="s">
        <v>1146</v>
      </c>
      <c r="BK340" t="s">
        <v>97</v>
      </c>
      <c r="BL340" t="s">
        <v>1146</v>
      </c>
      <c r="BM340" t="s">
        <v>5471</v>
      </c>
      <c r="BN340" t="s">
        <v>74</v>
      </c>
      <c r="BO340" t="s">
        <v>147</v>
      </c>
      <c r="BP340" t="s">
        <v>74</v>
      </c>
      <c r="BQ340" t="s">
        <v>74</v>
      </c>
      <c r="BR340" t="s">
        <v>100</v>
      </c>
      <c r="BS340" t="s">
        <v>5483</v>
      </c>
      <c r="BT340" t="str">
        <f>HYPERLINK("https%3A%2F%2Fwww.webofscience.com%2Fwos%2Fwoscc%2Ffull-record%2FWOS:000238327200019","View Full Record in Web of Science")</f>
        <v>View Full Record in Web of Science</v>
      </c>
    </row>
    <row r="341" spans="1:72" x14ac:dyDescent="0.15">
      <c r="A341" t="s">
        <v>72</v>
      </c>
      <c r="B341" t="s">
        <v>5484</v>
      </c>
      <c r="C341" t="s">
        <v>74</v>
      </c>
      <c r="D341" t="s">
        <v>74</v>
      </c>
      <c r="E341" t="s">
        <v>74</v>
      </c>
      <c r="F341" t="s">
        <v>5485</v>
      </c>
      <c r="G341" t="s">
        <v>74</v>
      </c>
      <c r="H341" t="s">
        <v>74</v>
      </c>
      <c r="I341" t="s">
        <v>5486</v>
      </c>
      <c r="J341" t="s">
        <v>5487</v>
      </c>
      <c r="K341" t="s">
        <v>74</v>
      </c>
      <c r="L341" t="s">
        <v>74</v>
      </c>
      <c r="M341" t="s">
        <v>78</v>
      </c>
      <c r="N341" t="s">
        <v>79</v>
      </c>
      <c r="O341" t="s">
        <v>74</v>
      </c>
      <c r="P341" t="s">
        <v>74</v>
      </c>
      <c r="Q341" t="s">
        <v>74</v>
      </c>
      <c r="R341" t="s">
        <v>74</v>
      </c>
      <c r="S341" t="s">
        <v>74</v>
      </c>
      <c r="T341" t="s">
        <v>5488</v>
      </c>
      <c r="U341" t="s">
        <v>5489</v>
      </c>
      <c r="V341" t="s">
        <v>5490</v>
      </c>
      <c r="W341" t="s">
        <v>5491</v>
      </c>
      <c r="X341" t="s">
        <v>5492</v>
      </c>
      <c r="Y341" t="s">
        <v>5493</v>
      </c>
      <c r="Z341" t="s">
        <v>5494</v>
      </c>
      <c r="AA341" t="s">
        <v>5495</v>
      </c>
      <c r="AB341" t="s">
        <v>5496</v>
      </c>
      <c r="AC341" t="s">
        <v>74</v>
      </c>
      <c r="AD341" t="s">
        <v>74</v>
      </c>
      <c r="AE341" t="s">
        <v>74</v>
      </c>
      <c r="AF341" t="s">
        <v>74</v>
      </c>
      <c r="AG341">
        <v>66</v>
      </c>
      <c r="AH341">
        <v>57</v>
      </c>
      <c r="AI341">
        <v>66</v>
      </c>
      <c r="AJ341">
        <v>0</v>
      </c>
      <c r="AK341">
        <v>19</v>
      </c>
      <c r="AL341" t="s">
        <v>994</v>
      </c>
      <c r="AM341" t="s">
        <v>4805</v>
      </c>
      <c r="AN341" t="s">
        <v>4806</v>
      </c>
      <c r="AO341" t="s">
        <v>5497</v>
      </c>
      <c r="AP341" t="s">
        <v>5498</v>
      </c>
      <c r="AQ341" t="s">
        <v>74</v>
      </c>
      <c r="AR341" t="s">
        <v>5499</v>
      </c>
      <c r="AS341" t="s">
        <v>5500</v>
      </c>
      <c r="AT341" t="s">
        <v>4479</v>
      </c>
      <c r="AU341">
        <v>2006</v>
      </c>
      <c r="AV341">
        <v>27</v>
      </c>
      <c r="AW341">
        <v>2</v>
      </c>
      <c r="AX341" t="s">
        <v>74</v>
      </c>
      <c r="AY341" t="s">
        <v>74</v>
      </c>
      <c r="AZ341" t="s">
        <v>74</v>
      </c>
      <c r="BA341" t="s">
        <v>74</v>
      </c>
      <c r="BB341">
        <v>83</v>
      </c>
      <c r="BC341">
        <v>107</v>
      </c>
      <c r="BD341" t="s">
        <v>74</v>
      </c>
      <c r="BE341" t="s">
        <v>5501</v>
      </c>
      <c r="BF341" t="str">
        <f>HYPERLINK("http://dx.doi.org/10.1007/s11001-006-9003-4","http://dx.doi.org/10.1007/s11001-006-9003-4")</f>
        <v>http://dx.doi.org/10.1007/s11001-006-9003-4</v>
      </c>
      <c r="BG341" t="s">
        <v>74</v>
      </c>
      <c r="BH341" t="s">
        <v>74</v>
      </c>
      <c r="BI341">
        <v>25</v>
      </c>
      <c r="BJ341" t="s">
        <v>5502</v>
      </c>
      <c r="BK341" t="s">
        <v>97</v>
      </c>
      <c r="BL341" t="s">
        <v>5502</v>
      </c>
      <c r="BM341" t="s">
        <v>5503</v>
      </c>
      <c r="BN341" t="s">
        <v>74</v>
      </c>
      <c r="BO341" t="s">
        <v>74</v>
      </c>
      <c r="BP341" t="s">
        <v>74</v>
      </c>
      <c r="BQ341" t="s">
        <v>74</v>
      </c>
      <c r="BR341" t="s">
        <v>100</v>
      </c>
      <c r="BS341" t="s">
        <v>5504</v>
      </c>
      <c r="BT341" t="str">
        <f>HYPERLINK("https%3A%2F%2Fwww.webofscience.com%2Fwos%2Fwoscc%2Ffull-record%2FWOS:000239919400002","View Full Record in Web of Science")</f>
        <v>View Full Record in Web of Science</v>
      </c>
    </row>
    <row r="342" spans="1:72" x14ac:dyDescent="0.15">
      <c r="A342" t="s">
        <v>72</v>
      </c>
      <c r="B342" t="s">
        <v>5505</v>
      </c>
      <c r="C342" t="s">
        <v>74</v>
      </c>
      <c r="D342" t="s">
        <v>74</v>
      </c>
      <c r="E342" t="s">
        <v>74</v>
      </c>
      <c r="F342" t="s">
        <v>5506</v>
      </c>
      <c r="G342" t="s">
        <v>74</v>
      </c>
      <c r="H342" t="s">
        <v>74</v>
      </c>
      <c r="I342" t="s">
        <v>5507</v>
      </c>
      <c r="J342" t="s">
        <v>5487</v>
      </c>
      <c r="K342" t="s">
        <v>74</v>
      </c>
      <c r="L342" t="s">
        <v>74</v>
      </c>
      <c r="M342" t="s">
        <v>78</v>
      </c>
      <c r="N342" t="s">
        <v>79</v>
      </c>
      <c r="O342" t="s">
        <v>74</v>
      </c>
      <c r="P342" t="s">
        <v>74</v>
      </c>
      <c r="Q342" t="s">
        <v>74</v>
      </c>
      <c r="R342" t="s">
        <v>74</v>
      </c>
      <c r="S342" t="s">
        <v>74</v>
      </c>
      <c r="T342" t="s">
        <v>5508</v>
      </c>
      <c r="U342" t="s">
        <v>5509</v>
      </c>
      <c r="V342" t="s">
        <v>5510</v>
      </c>
      <c r="W342" t="s">
        <v>5511</v>
      </c>
      <c r="X342" t="s">
        <v>5512</v>
      </c>
      <c r="Y342" t="s">
        <v>5513</v>
      </c>
      <c r="Z342" t="s">
        <v>5514</v>
      </c>
      <c r="AA342" t="s">
        <v>5515</v>
      </c>
      <c r="AB342" t="s">
        <v>5516</v>
      </c>
      <c r="AC342" t="s">
        <v>74</v>
      </c>
      <c r="AD342" t="s">
        <v>74</v>
      </c>
      <c r="AE342" t="s">
        <v>74</v>
      </c>
      <c r="AF342" t="s">
        <v>74</v>
      </c>
      <c r="AG342">
        <v>73</v>
      </c>
      <c r="AH342">
        <v>37</v>
      </c>
      <c r="AI342">
        <v>41</v>
      </c>
      <c r="AJ342">
        <v>0</v>
      </c>
      <c r="AK342">
        <v>10</v>
      </c>
      <c r="AL342" t="s">
        <v>994</v>
      </c>
      <c r="AM342" t="s">
        <v>4805</v>
      </c>
      <c r="AN342" t="s">
        <v>4806</v>
      </c>
      <c r="AO342" t="s">
        <v>5497</v>
      </c>
      <c r="AP342" t="s">
        <v>5498</v>
      </c>
      <c r="AQ342" t="s">
        <v>74</v>
      </c>
      <c r="AR342" t="s">
        <v>5499</v>
      </c>
      <c r="AS342" t="s">
        <v>5500</v>
      </c>
      <c r="AT342" t="s">
        <v>4479</v>
      </c>
      <c r="AU342">
        <v>2006</v>
      </c>
      <c r="AV342">
        <v>27</v>
      </c>
      <c r="AW342">
        <v>2</v>
      </c>
      <c r="AX342" t="s">
        <v>74</v>
      </c>
      <c r="AY342" t="s">
        <v>74</v>
      </c>
      <c r="AZ342" t="s">
        <v>74</v>
      </c>
      <c r="BA342" t="s">
        <v>74</v>
      </c>
      <c r="BB342">
        <v>109</v>
      </c>
      <c r="BC342">
        <v>127</v>
      </c>
      <c r="BD342" t="s">
        <v>74</v>
      </c>
      <c r="BE342" t="s">
        <v>5517</v>
      </c>
      <c r="BF342" t="str">
        <f>HYPERLINK("http://dx.doi.org/10.1007/s11001-005-3136-8","http://dx.doi.org/10.1007/s11001-005-3136-8")</f>
        <v>http://dx.doi.org/10.1007/s11001-005-3136-8</v>
      </c>
      <c r="BG342" t="s">
        <v>74</v>
      </c>
      <c r="BH342" t="s">
        <v>74</v>
      </c>
      <c r="BI342">
        <v>19</v>
      </c>
      <c r="BJ342" t="s">
        <v>5502</v>
      </c>
      <c r="BK342" t="s">
        <v>97</v>
      </c>
      <c r="BL342" t="s">
        <v>5502</v>
      </c>
      <c r="BM342" t="s">
        <v>5503</v>
      </c>
      <c r="BN342" t="s">
        <v>74</v>
      </c>
      <c r="BO342" t="s">
        <v>74</v>
      </c>
      <c r="BP342" t="s">
        <v>74</v>
      </c>
      <c r="BQ342" t="s">
        <v>74</v>
      </c>
      <c r="BR342" t="s">
        <v>100</v>
      </c>
      <c r="BS342" t="s">
        <v>5518</v>
      </c>
      <c r="BT342" t="str">
        <f>HYPERLINK("https%3A%2F%2Fwww.webofscience.com%2Fwos%2Fwoscc%2Ffull-record%2FWOS:000239919400003","View Full Record in Web of Science")</f>
        <v>View Full Record in Web of Science</v>
      </c>
    </row>
    <row r="343" spans="1:72" x14ac:dyDescent="0.15">
      <c r="A343" t="s">
        <v>72</v>
      </c>
      <c r="B343" t="s">
        <v>5519</v>
      </c>
      <c r="C343" t="s">
        <v>74</v>
      </c>
      <c r="D343" t="s">
        <v>74</v>
      </c>
      <c r="E343" t="s">
        <v>74</v>
      </c>
      <c r="F343" t="s">
        <v>5519</v>
      </c>
      <c r="G343" t="s">
        <v>74</v>
      </c>
      <c r="H343" t="s">
        <v>74</v>
      </c>
      <c r="I343" t="s">
        <v>5520</v>
      </c>
      <c r="J343" t="s">
        <v>1340</v>
      </c>
      <c r="K343" t="s">
        <v>74</v>
      </c>
      <c r="L343" t="s">
        <v>74</v>
      </c>
      <c r="M343" t="s">
        <v>78</v>
      </c>
      <c r="N343" t="s">
        <v>79</v>
      </c>
      <c r="O343" t="s">
        <v>74</v>
      </c>
      <c r="P343" t="s">
        <v>74</v>
      </c>
      <c r="Q343" t="s">
        <v>74</v>
      </c>
      <c r="R343" t="s">
        <v>74</v>
      </c>
      <c r="S343" t="s">
        <v>74</v>
      </c>
      <c r="T343" t="s">
        <v>74</v>
      </c>
      <c r="U343" t="s">
        <v>5521</v>
      </c>
      <c r="V343" t="s">
        <v>5522</v>
      </c>
      <c r="W343" t="s">
        <v>5523</v>
      </c>
      <c r="X343" t="s">
        <v>5524</v>
      </c>
      <c r="Y343" t="s">
        <v>5525</v>
      </c>
      <c r="Z343" t="s">
        <v>5526</v>
      </c>
      <c r="AA343" t="s">
        <v>74</v>
      </c>
      <c r="AB343" t="s">
        <v>74</v>
      </c>
      <c r="AC343" t="s">
        <v>74</v>
      </c>
      <c r="AD343" t="s">
        <v>74</v>
      </c>
      <c r="AE343" t="s">
        <v>74</v>
      </c>
      <c r="AF343" t="s">
        <v>74</v>
      </c>
      <c r="AG343">
        <v>46</v>
      </c>
      <c r="AH343">
        <v>14</v>
      </c>
      <c r="AI343">
        <v>15</v>
      </c>
      <c r="AJ343">
        <v>1</v>
      </c>
      <c r="AK343">
        <v>14</v>
      </c>
      <c r="AL343" t="s">
        <v>1376</v>
      </c>
      <c r="AM343" t="s">
        <v>1377</v>
      </c>
      <c r="AN343" t="s">
        <v>1378</v>
      </c>
      <c r="AO343" t="s">
        <v>1347</v>
      </c>
      <c r="AP343" t="s">
        <v>74</v>
      </c>
      <c r="AQ343" t="s">
        <v>74</v>
      </c>
      <c r="AR343" t="s">
        <v>1349</v>
      </c>
      <c r="AS343" t="s">
        <v>1350</v>
      </c>
      <c r="AT343" t="s">
        <v>4479</v>
      </c>
      <c r="AU343">
        <v>2006</v>
      </c>
      <c r="AV343">
        <v>41</v>
      </c>
      <c r="AW343">
        <v>6</v>
      </c>
      <c r="AX343" t="s">
        <v>74</v>
      </c>
      <c r="AY343" t="s">
        <v>74</v>
      </c>
      <c r="AZ343" t="s">
        <v>74</v>
      </c>
      <c r="BA343" t="s">
        <v>74</v>
      </c>
      <c r="BB343">
        <v>863</v>
      </c>
      <c r="BC343">
        <v>874</v>
      </c>
      <c r="BD343" t="s">
        <v>74</v>
      </c>
      <c r="BE343" t="s">
        <v>5527</v>
      </c>
      <c r="BF343" t="str">
        <f>HYPERLINK("http://dx.doi.org/10.1111/j.1945-5100.2006.tb00491.x","http://dx.doi.org/10.1111/j.1945-5100.2006.tb00491.x")</f>
        <v>http://dx.doi.org/10.1111/j.1945-5100.2006.tb00491.x</v>
      </c>
      <c r="BG343" t="s">
        <v>74</v>
      </c>
      <c r="BH343" t="s">
        <v>74</v>
      </c>
      <c r="BI343">
        <v>12</v>
      </c>
      <c r="BJ343" t="s">
        <v>608</v>
      </c>
      <c r="BK343" t="s">
        <v>97</v>
      </c>
      <c r="BL343" t="s">
        <v>608</v>
      </c>
      <c r="BM343" t="s">
        <v>5528</v>
      </c>
      <c r="BN343" t="s">
        <v>74</v>
      </c>
      <c r="BO343" t="s">
        <v>74</v>
      </c>
      <c r="BP343" t="s">
        <v>74</v>
      </c>
      <c r="BQ343" t="s">
        <v>74</v>
      </c>
      <c r="BR343" t="s">
        <v>100</v>
      </c>
      <c r="BS343" t="s">
        <v>5529</v>
      </c>
      <c r="BT343" t="str">
        <f>HYPERLINK("https%3A%2F%2Fwww.webofscience.com%2Fwos%2Fwoscc%2Ffull-record%2FWOS:000238184000004","View Full Record in Web of Science")</f>
        <v>View Full Record in Web of Science</v>
      </c>
    </row>
    <row r="344" spans="1:72" x14ac:dyDescent="0.15">
      <c r="A344" t="s">
        <v>72</v>
      </c>
      <c r="B344" t="s">
        <v>5530</v>
      </c>
      <c r="C344" t="s">
        <v>74</v>
      </c>
      <c r="D344" t="s">
        <v>74</v>
      </c>
      <c r="E344" t="s">
        <v>74</v>
      </c>
      <c r="F344" t="s">
        <v>5531</v>
      </c>
      <c r="G344" t="s">
        <v>74</v>
      </c>
      <c r="H344" t="s">
        <v>74</v>
      </c>
      <c r="I344" t="s">
        <v>5532</v>
      </c>
      <c r="J344" t="s">
        <v>1340</v>
      </c>
      <c r="K344" t="s">
        <v>74</v>
      </c>
      <c r="L344" t="s">
        <v>74</v>
      </c>
      <c r="M344" t="s">
        <v>78</v>
      </c>
      <c r="N344" t="s">
        <v>79</v>
      </c>
      <c r="O344" t="s">
        <v>74</v>
      </c>
      <c r="P344" t="s">
        <v>74</v>
      </c>
      <c r="Q344" t="s">
        <v>74</v>
      </c>
      <c r="R344" t="s">
        <v>74</v>
      </c>
      <c r="S344" t="s">
        <v>74</v>
      </c>
      <c r="T344" t="s">
        <v>74</v>
      </c>
      <c r="U344" t="s">
        <v>5533</v>
      </c>
      <c r="V344" t="s">
        <v>5534</v>
      </c>
      <c r="W344" t="s">
        <v>5535</v>
      </c>
      <c r="X344" t="s">
        <v>5536</v>
      </c>
      <c r="Y344" t="s">
        <v>5537</v>
      </c>
      <c r="Z344" t="s">
        <v>5538</v>
      </c>
      <c r="AA344" t="s">
        <v>5539</v>
      </c>
      <c r="AB344" t="s">
        <v>5540</v>
      </c>
      <c r="AC344" t="s">
        <v>74</v>
      </c>
      <c r="AD344" t="s">
        <v>74</v>
      </c>
      <c r="AE344" t="s">
        <v>74</v>
      </c>
      <c r="AF344" t="s">
        <v>74</v>
      </c>
      <c r="AG344">
        <v>62</v>
      </c>
      <c r="AH344">
        <v>137</v>
      </c>
      <c r="AI344">
        <v>136</v>
      </c>
      <c r="AJ344">
        <v>0</v>
      </c>
      <c r="AK344">
        <v>34</v>
      </c>
      <c r="AL344" t="s">
        <v>115</v>
      </c>
      <c r="AM344" t="s">
        <v>116</v>
      </c>
      <c r="AN344" t="s">
        <v>117</v>
      </c>
      <c r="AO344" t="s">
        <v>1347</v>
      </c>
      <c r="AP344" t="s">
        <v>1348</v>
      </c>
      <c r="AQ344" t="s">
        <v>74</v>
      </c>
      <c r="AR344" t="s">
        <v>1349</v>
      </c>
      <c r="AS344" t="s">
        <v>1350</v>
      </c>
      <c r="AT344" t="s">
        <v>4479</v>
      </c>
      <c r="AU344">
        <v>2006</v>
      </c>
      <c r="AV344">
        <v>41</v>
      </c>
      <c r="AW344">
        <v>6</v>
      </c>
      <c r="AX344" t="s">
        <v>74</v>
      </c>
      <c r="AY344" t="s">
        <v>74</v>
      </c>
      <c r="AZ344" t="s">
        <v>74</v>
      </c>
      <c r="BA344" t="s">
        <v>74</v>
      </c>
      <c r="BB344">
        <v>889</v>
      </c>
      <c r="BC344">
        <v>902</v>
      </c>
      <c r="BD344" t="s">
        <v>74</v>
      </c>
      <c r="BE344" t="s">
        <v>5541</v>
      </c>
      <c r="BF344" t="str">
        <f>HYPERLINK("http://dx.doi.org/10.1111/j.1945-5100.2006.tb00493.x","http://dx.doi.org/10.1111/j.1945-5100.2006.tb00493.x")</f>
        <v>http://dx.doi.org/10.1111/j.1945-5100.2006.tb00493.x</v>
      </c>
      <c r="BG344" t="s">
        <v>74</v>
      </c>
      <c r="BH344" t="s">
        <v>74</v>
      </c>
      <c r="BI344">
        <v>14</v>
      </c>
      <c r="BJ344" t="s">
        <v>608</v>
      </c>
      <c r="BK344" t="s">
        <v>97</v>
      </c>
      <c r="BL344" t="s">
        <v>608</v>
      </c>
      <c r="BM344" t="s">
        <v>5528</v>
      </c>
      <c r="BN344" t="s">
        <v>74</v>
      </c>
      <c r="BO344" t="s">
        <v>74</v>
      </c>
      <c r="BP344" t="s">
        <v>74</v>
      </c>
      <c r="BQ344" t="s">
        <v>74</v>
      </c>
      <c r="BR344" t="s">
        <v>100</v>
      </c>
      <c r="BS344" t="s">
        <v>5542</v>
      </c>
      <c r="BT344" t="str">
        <f>HYPERLINK("https%3A%2F%2Fwww.webofscience.com%2Fwos%2Fwoscc%2Ffull-record%2FWOS:000238184000006","View Full Record in Web of Science")</f>
        <v>View Full Record in Web of Science</v>
      </c>
    </row>
    <row r="345" spans="1:72" x14ac:dyDescent="0.15">
      <c r="A345" t="s">
        <v>72</v>
      </c>
      <c r="B345" t="s">
        <v>5543</v>
      </c>
      <c r="C345" t="s">
        <v>74</v>
      </c>
      <c r="D345" t="s">
        <v>74</v>
      </c>
      <c r="E345" t="s">
        <v>74</v>
      </c>
      <c r="F345" t="s">
        <v>5544</v>
      </c>
      <c r="G345" t="s">
        <v>74</v>
      </c>
      <c r="H345" t="s">
        <v>74</v>
      </c>
      <c r="I345" t="s">
        <v>5545</v>
      </c>
      <c r="J345" t="s">
        <v>1340</v>
      </c>
      <c r="K345" t="s">
        <v>74</v>
      </c>
      <c r="L345" t="s">
        <v>74</v>
      </c>
      <c r="M345" t="s">
        <v>78</v>
      </c>
      <c r="N345" t="s">
        <v>79</v>
      </c>
      <c r="O345" t="s">
        <v>74</v>
      </c>
      <c r="P345" t="s">
        <v>74</v>
      </c>
      <c r="Q345" t="s">
        <v>74</v>
      </c>
      <c r="R345" t="s">
        <v>74</v>
      </c>
      <c r="S345" t="s">
        <v>74</v>
      </c>
      <c r="T345" t="s">
        <v>74</v>
      </c>
      <c r="U345" t="s">
        <v>5546</v>
      </c>
      <c r="V345" t="s">
        <v>5547</v>
      </c>
      <c r="W345" t="s">
        <v>5548</v>
      </c>
      <c r="X345" t="s">
        <v>5549</v>
      </c>
      <c r="Y345" t="s">
        <v>5550</v>
      </c>
      <c r="Z345" t="s">
        <v>5551</v>
      </c>
      <c r="AA345" t="s">
        <v>74</v>
      </c>
      <c r="AB345" t="s">
        <v>74</v>
      </c>
      <c r="AC345" t="s">
        <v>74</v>
      </c>
      <c r="AD345" t="s">
        <v>74</v>
      </c>
      <c r="AE345" t="s">
        <v>74</v>
      </c>
      <c r="AF345" t="s">
        <v>74</v>
      </c>
      <c r="AG345">
        <v>63</v>
      </c>
      <c r="AH345">
        <v>34</v>
      </c>
      <c r="AI345">
        <v>35</v>
      </c>
      <c r="AJ345">
        <v>0</v>
      </c>
      <c r="AK345">
        <v>5</v>
      </c>
      <c r="AL345" t="s">
        <v>115</v>
      </c>
      <c r="AM345" t="s">
        <v>116</v>
      </c>
      <c r="AN345" t="s">
        <v>117</v>
      </c>
      <c r="AO345" t="s">
        <v>1347</v>
      </c>
      <c r="AP345" t="s">
        <v>1348</v>
      </c>
      <c r="AQ345" t="s">
        <v>74</v>
      </c>
      <c r="AR345" t="s">
        <v>1349</v>
      </c>
      <c r="AS345" t="s">
        <v>1350</v>
      </c>
      <c r="AT345" t="s">
        <v>4479</v>
      </c>
      <c r="AU345">
        <v>2006</v>
      </c>
      <c r="AV345">
        <v>41</v>
      </c>
      <c r="AW345">
        <v>6</v>
      </c>
      <c r="AX345" t="s">
        <v>74</v>
      </c>
      <c r="AY345" t="s">
        <v>74</v>
      </c>
      <c r="AZ345" t="s">
        <v>74</v>
      </c>
      <c r="BA345" t="s">
        <v>74</v>
      </c>
      <c r="BB345">
        <v>925</v>
      </c>
      <c r="BC345">
        <v>952</v>
      </c>
      <c r="BD345" t="s">
        <v>74</v>
      </c>
      <c r="BE345" t="s">
        <v>5552</v>
      </c>
      <c r="BF345" t="str">
        <f>HYPERLINK("http://dx.doi.org/10.1111/j.1945-5100.2006.tb00496.x","http://dx.doi.org/10.1111/j.1945-5100.2006.tb00496.x")</f>
        <v>http://dx.doi.org/10.1111/j.1945-5100.2006.tb00496.x</v>
      </c>
      <c r="BG345" t="s">
        <v>74</v>
      </c>
      <c r="BH345" t="s">
        <v>74</v>
      </c>
      <c r="BI345">
        <v>28</v>
      </c>
      <c r="BJ345" t="s">
        <v>608</v>
      </c>
      <c r="BK345" t="s">
        <v>97</v>
      </c>
      <c r="BL345" t="s">
        <v>608</v>
      </c>
      <c r="BM345" t="s">
        <v>5528</v>
      </c>
      <c r="BN345" t="s">
        <v>74</v>
      </c>
      <c r="BO345" t="s">
        <v>460</v>
      </c>
      <c r="BP345" t="s">
        <v>74</v>
      </c>
      <c r="BQ345" t="s">
        <v>74</v>
      </c>
      <c r="BR345" t="s">
        <v>100</v>
      </c>
      <c r="BS345" t="s">
        <v>5553</v>
      </c>
      <c r="BT345" t="str">
        <f>HYPERLINK("https%3A%2F%2Fwww.webofscience.com%2Fwos%2Fwoscc%2Ffull-record%2FWOS:000238184000009","View Full Record in Web of Science")</f>
        <v>View Full Record in Web of Science</v>
      </c>
    </row>
    <row r="346" spans="1:72" x14ac:dyDescent="0.15">
      <c r="A346" t="s">
        <v>72</v>
      </c>
      <c r="B346" t="s">
        <v>5554</v>
      </c>
      <c r="C346" t="s">
        <v>74</v>
      </c>
      <c r="D346" t="s">
        <v>74</v>
      </c>
      <c r="E346" t="s">
        <v>74</v>
      </c>
      <c r="F346" t="s">
        <v>5555</v>
      </c>
      <c r="G346" t="s">
        <v>74</v>
      </c>
      <c r="H346" t="s">
        <v>74</v>
      </c>
      <c r="I346" t="s">
        <v>5556</v>
      </c>
      <c r="J346" t="s">
        <v>5557</v>
      </c>
      <c r="K346" t="s">
        <v>74</v>
      </c>
      <c r="L346" t="s">
        <v>74</v>
      </c>
      <c r="M346" t="s">
        <v>78</v>
      </c>
      <c r="N346" t="s">
        <v>79</v>
      </c>
      <c r="O346" t="s">
        <v>74</v>
      </c>
      <c r="P346" t="s">
        <v>74</v>
      </c>
      <c r="Q346" t="s">
        <v>74</v>
      </c>
      <c r="R346" t="s">
        <v>74</v>
      </c>
      <c r="S346" t="s">
        <v>74</v>
      </c>
      <c r="T346" t="s">
        <v>5558</v>
      </c>
      <c r="U346" t="s">
        <v>5559</v>
      </c>
      <c r="V346" t="s">
        <v>5560</v>
      </c>
      <c r="W346" t="s">
        <v>5561</v>
      </c>
      <c r="X346" t="s">
        <v>5562</v>
      </c>
      <c r="Y346" t="s">
        <v>5563</v>
      </c>
      <c r="Z346" t="s">
        <v>5564</v>
      </c>
      <c r="AA346" t="s">
        <v>5565</v>
      </c>
      <c r="AB346" t="s">
        <v>5566</v>
      </c>
      <c r="AC346" t="s">
        <v>1550</v>
      </c>
      <c r="AD346" t="s">
        <v>1328</v>
      </c>
      <c r="AE346" t="s">
        <v>74</v>
      </c>
      <c r="AF346" t="s">
        <v>74</v>
      </c>
      <c r="AG346">
        <v>52</v>
      </c>
      <c r="AH346">
        <v>27</v>
      </c>
      <c r="AI346">
        <v>31</v>
      </c>
      <c r="AJ346">
        <v>0</v>
      </c>
      <c r="AK346">
        <v>12</v>
      </c>
      <c r="AL346" t="s">
        <v>115</v>
      </c>
      <c r="AM346" t="s">
        <v>116</v>
      </c>
      <c r="AN346" t="s">
        <v>117</v>
      </c>
      <c r="AO346" t="s">
        <v>5567</v>
      </c>
      <c r="AP346" t="s">
        <v>5568</v>
      </c>
      <c r="AQ346" t="s">
        <v>74</v>
      </c>
      <c r="AR346" t="s">
        <v>5569</v>
      </c>
      <c r="AS346" t="s">
        <v>5570</v>
      </c>
      <c r="AT346" t="s">
        <v>4479</v>
      </c>
      <c r="AU346">
        <v>2006</v>
      </c>
      <c r="AV346">
        <v>15</v>
      </c>
      <c r="AW346">
        <v>7</v>
      </c>
      <c r="AX346" t="s">
        <v>74</v>
      </c>
      <c r="AY346" t="s">
        <v>74</v>
      </c>
      <c r="AZ346" t="s">
        <v>74</v>
      </c>
      <c r="BA346" t="s">
        <v>74</v>
      </c>
      <c r="BB346">
        <v>1995</v>
      </c>
      <c r="BC346">
        <v>2005</v>
      </c>
      <c r="BD346" t="s">
        <v>74</v>
      </c>
      <c r="BE346" t="s">
        <v>5571</v>
      </c>
      <c r="BF346" t="str">
        <f>HYPERLINK("http://dx.doi.org/10.1111/j.1365-294X.2006.02894.x","http://dx.doi.org/10.1111/j.1365-294X.2006.02894.x")</f>
        <v>http://dx.doi.org/10.1111/j.1365-294X.2006.02894.x</v>
      </c>
      <c r="BG346" t="s">
        <v>74</v>
      </c>
      <c r="BH346" t="s">
        <v>74</v>
      </c>
      <c r="BI346">
        <v>11</v>
      </c>
      <c r="BJ346" t="s">
        <v>5572</v>
      </c>
      <c r="BK346" t="s">
        <v>97</v>
      </c>
      <c r="BL346" t="s">
        <v>5573</v>
      </c>
      <c r="BM346" t="s">
        <v>5574</v>
      </c>
      <c r="BN346">
        <v>16689914</v>
      </c>
      <c r="BO346" t="s">
        <v>74</v>
      </c>
      <c r="BP346" t="s">
        <v>74</v>
      </c>
      <c r="BQ346" t="s">
        <v>74</v>
      </c>
      <c r="BR346" t="s">
        <v>100</v>
      </c>
      <c r="BS346" t="s">
        <v>5575</v>
      </c>
      <c r="BT346" t="str">
        <f>HYPERLINK("https%3A%2F%2Fwww.webofscience.com%2Fwos%2Fwoscc%2Ffull-record%2FWOS:000237516500023","View Full Record in Web of Science")</f>
        <v>View Full Record in Web of Science</v>
      </c>
    </row>
    <row r="347" spans="1:72" x14ac:dyDescent="0.15">
      <c r="A347" t="s">
        <v>72</v>
      </c>
      <c r="B347" t="s">
        <v>5576</v>
      </c>
      <c r="C347" t="s">
        <v>74</v>
      </c>
      <c r="D347" t="s">
        <v>74</v>
      </c>
      <c r="E347" t="s">
        <v>74</v>
      </c>
      <c r="F347" t="s">
        <v>5577</v>
      </c>
      <c r="G347" t="s">
        <v>74</v>
      </c>
      <c r="H347" t="s">
        <v>74</v>
      </c>
      <c r="I347" t="s">
        <v>5578</v>
      </c>
      <c r="J347" t="s">
        <v>4036</v>
      </c>
      <c r="K347" t="s">
        <v>74</v>
      </c>
      <c r="L347" t="s">
        <v>74</v>
      </c>
      <c r="M347" t="s">
        <v>78</v>
      </c>
      <c r="N347" t="s">
        <v>79</v>
      </c>
      <c r="O347" t="s">
        <v>74</v>
      </c>
      <c r="P347" t="s">
        <v>74</v>
      </c>
      <c r="Q347" t="s">
        <v>74</v>
      </c>
      <c r="R347" t="s">
        <v>74</v>
      </c>
      <c r="S347" t="s">
        <v>74</v>
      </c>
      <c r="T347" t="s">
        <v>74</v>
      </c>
      <c r="U347" t="s">
        <v>5579</v>
      </c>
      <c r="V347" t="s">
        <v>5580</v>
      </c>
      <c r="W347" t="s">
        <v>5581</v>
      </c>
      <c r="X347" t="s">
        <v>5582</v>
      </c>
      <c r="Y347" t="s">
        <v>5583</v>
      </c>
      <c r="Z347" t="s">
        <v>5584</v>
      </c>
      <c r="AA347" t="s">
        <v>5585</v>
      </c>
      <c r="AB347" t="s">
        <v>5586</v>
      </c>
      <c r="AC347" t="s">
        <v>5587</v>
      </c>
      <c r="AD347" t="s">
        <v>1328</v>
      </c>
      <c r="AE347" t="s">
        <v>74</v>
      </c>
      <c r="AF347" t="s">
        <v>74</v>
      </c>
      <c r="AG347">
        <v>41</v>
      </c>
      <c r="AH347">
        <v>396</v>
      </c>
      <c r="AI347">
        <v>451</v>
      </c>
      <c r="AJ347">
        <v>2</v>
      </c>
      <c r="AK347">
        <v>137</v>
      </c>
      <c r="AL347" t="s">
        <v>556</v>
      </c>
      <c r="AM347" t="s">
        <v>557</v>
      </c>
      <c r="AN347" t="s">
        <v>558</v>
      </c>
      <c r="AO347" t="s">
        <v>4045</v>
      </c>
      <c r="AP347" t="s">
        <v>5588</v>
      </c>
      <c r="AQ347" t="s">
        <v>74</v>
      </c>
      <c r="AR347" t="s">
        <v>4036</v>
      </c>
      <c r="AS347" t="s">
        <v>4046</v>
      </c>
      <c r="AT347" t="s">
        <v>5107</v>
      </c>
      <c r="AU347">
        <v>2006</v>
      </c>
      <c r="AV347">
        <v>441</v>
      </c>
      <c r="AW347">
        <v>7093</v>
      </c>
      <c r="AX347" t="s">
        <v>74</v>
      </c>
      <c r="AY347" t="s">
        <v>74</v>
      </c>
      <c r="AZ347" t="s">
        <v>74</v>
      </c>
      <c r="BA347" t="s">
        <v>74</v>
      </c>
      <c r="BB347">
        <v>601</v>
      </c>
      <c r="BC347">
        <v>605</v>
      </c>
      <c r="BD347" t="s">
        <v>74</v>
      </c>
      <c r="BE347" t="s">
        <v>5589</v>
      </c>
      <c r="BF347" t="str">
        <f>HYPERLINK("http://dx.doi.org/10.1038/nature04800","http://dx.doi.org/10.1038/nature04800")</f>
        <v>http://dx.doi.org/10.1038/nature04800</v>
      </c>
      <c r="BG347" t="s">
        <v>74</v>
      </c>
      <c r="BH347" t="s">
        <v>74</v>
      </c>
      <c r="BI347">
        <v>5</v>
      </c>
      <c r="BJ347" t="s">
        <v>1841</v>
      </c>
      <c r="BK347" t="s">
        <v>97</v>
      </c>
      <c r="BL347" t="s">
        <v>1842</v>
      </c>
      <c r="BM347" t="s">
        <v>5590</v>
      </c>
      <c r="BN347">
        <v>16738653</v>
      </c>
      <c r="BO347" t="s">
        <v>99</v>
      </c>
      <c r="BP347" t="s">
        <v>74</v>
      </c>
      <c r="BQ347" t="s">
        <v>74</v>
      </c>
      <c r="BR347" t="s">
        <v>100</v>
      </c>
      <c r="BS347" t="s">
        <v>5591</v>
      </c>
      <c r="BT347" t="str">
        <f>HYPERLINK("https%3A%2F%2Fwww.webofscience.com%2Fwos%2Fwoscc%2Ffull-record%2FWOS:000237920800039","View Full Record in Web of Science")</f>
        <v>View Full Record in Web of Science</v>
      </c>
    </row>
    <row r="348" spans="1:72" x14ac:dyDescent="0.15">
      <c r="A348" t="s">
        <v>72</v>
      </c>
      <c r="B348" t="s">
        <v>5592</v>
      </c>
      <c r="C348" t="s">
        <v>74</v>
      </c>
      <c r="D348" t="s">
        <v>74</v>
      </c>
      <c r="E348" t="s">
        <v>74</v>
      </c>
      <c r="F348" t="s">
        <v>5593</v>
      </c>
      <c r="G348" t="s">
        <v>74</v>
      </c>
      <c r="H348" t="s">
        <v>74</v>
      </c>
      <c r="I348" t="s">
        <v>5594</v>
      </c>
      <c r="J348" t="s">
        <v>5595</v>
      </c>
      <c r="K348" t="s">
        <v>74</v>
      </c>
      <c r="L348" t="s">
        <v>74</v>
      </c>
      <c r="M348" t="s">
        <v>78</v>
      </c>
      <c r="N348" t="s">
        <v>79</v>
      </c>
      <c r="O348" t="s">
        <v>74</v>
      </c>
      <c r="P348" t="s">
        <v>74</v>
      </c>
      <c r="Q348" t="s">
        <v>74</v>
      </c>
      <c r="R348" t="s">
        <v>74</v>
      </c>
      <c r="S348" t="s">
        <v>74</v>
      </c>
      <c r="T348" t="s">
        <v>5596</v>
      </c>
      <c r="U348" t="s">
        <v>5597</v>
      </c>
      <c r="V348" t="s">
        <v>5598</v>
      </c>
      <c r="W348" t="s">
        <v>5599</v>
      </c>
      <c r="X348" t="s">
        <v>5600</v>
      </c>
      <c r="Y348" t="s">
        <v>5601</v>
      </c>
      <c r="Z348" t="s">
        <v>74</v>
      </c>
      <c r="AA348" t="s">
        <v>4803</v>
      </c>
      <c r="AB348" t="s">
        <v>4804</v>
      </c>
      <c r="AC348" t="s">
        <v>74</v>
      </c>
      <c r="AD348" t="s">
        <v>74</v>
      </c>
      <c r="AE348" t="s">
        <v>74</v>
      </c>
      <c r="AF348" t="s">
        <v>74</v>
      </c>
      <c r="AG348">
        <v>17</v>
      </c>
      <c r="AH348">
        <v>3</v>
      </c>
      <c r="AI348">
        <v>4</v>
      </c>
      <c r="AJ348">
        <v>0</v>
      </c>
      <c r="AK348">
        <v>6</v>
      </c>
      <c r="AL348" t="s">
        <v>5602</v>
      </c>
      <c r="AM348" t="s">
        <v>5603</v>
      </c>
      <c r="AN348" t="s">
        <v>5604</v>
      </c>
      <c r="AO348" t="s">
        <v>5605</v>
      </c>
      <c r="AP348" t="s">
        <v>74</v>
      </c>
      <c r="AQ348" t="s">
        <v>74</v>
      </c>
      <c r="AR348" t="s">
        <v>5606</v>
      </c>
      <c r="AS348" t="s">
        <v>5607</v>
      </c>
      <c r="AT348" t="s">
        <v>4479</v>
      </c>
      <c r="AU348">
        <v>2006</v>
      </c>
      <c r="AV348">
        <v>44</v>
      </c>
      <c r="AW348">
        <v>2</v>
      </c>
      <c r="AX348" t="s">
        <v>74</v>
      </c>
      <c r="AY348" t="s">
        <v>74</v>
      </c>
      <c r="AZ348" t="s">
        <v>74</v>
      </c>
      <c r="BA348" t="s">
        <v>74</v>
      </c>
      <c r="BB348">
        <v>187</v>
      </c>
      <c r="BC348">
        <v>197</v>
      </c>
      <c r="BD348" t="s">
        <v>74</v>
      </c>
      <c r="BE348" t="s">
        <v>5608</v>
      </c>
      <c r="BF348" t="str">
        <f>HYPERLINK("http://dx.doi.org/10.1080/0028825X.2006.9513017","http://dx.doi.org/10.1080/0028825X.2006.9513017")</f>
        <v>http://dx.doi.org/10.1080/0028825X.2006.9513017</v>
      </c>
      <c r="BG348" t="s">
        <v>74</v>
      </c>
      <c r="BH348" t="s">
        <v>74</v>
      </c>
      <c r="BI348">
        <v>11</v>
      </c>
      <c r="BJ348" t="s">
        <v>1114</v>
      </c>
      <c r="BK348" t="s">
        <v>97</v>
      </c>
      <c r="BL348" t="s">
        <v>1114</v>
      </c>
      <c r="BM348" t="s">
        <v>5609</v>
      </c>
      <c r="BN348" t="s">
        <v>74</v>
      </c>
      <c r="BO348" t="s">
        <v>74</v>
      </c>
      <c r="BP348" t="s">
        <v>74</v>
      </c>
      <c r="BQ348" t="s">
        <v>74</v>
      </c>
      <c r="BR348" t="s">
        <v>100</v>
      </c>
      <c r="BS348" t="s">
        <v>5610</v>
      </c>
      <c r="BT348" t="str">
        <f>HYPERLINK("https%3A%2F%2Fwww.webofscience.com%2Fwos%2Fwoscc%2Ffull-record%2FWOS:000239326600007","View Full Record in Web of Science")</f>
        <v>View Full Record in Web of Science</v>
      </c>
    </row>
    <row r="349" spans="1:72" x14ac:dyDescent="0.15">
      <c r="A349" t="s">
        <v>72</v>
      </c>
      <c r="B349" t="s">
        <v>5611</v>
      </c>
      <c r="C349" t="s">
        <v>74</v>
      </c>
      <c r="D349" t="s">
        <v>74</v>
      </c>
      <c r="E349" t="s">
        <v>74</v>
      </c>
      <c r="F349" t="s">
        <v>5612</v>
      </c>
      <c r="G349" t="s">
        <v>74</v>
      </c>
      <c r="H349" t="s">
        <v>74</v>
      </c>
      <c r="I349" t="s">
        <v>5613</v>
      </c>
      <c r="J349" t="s">
        <v>5614</v>
      </c>
      <c r="K349" t="s">
        <v>74</v>
      </c>
      <c r="L349" t="s">
        <v>74</v>
      </c>
      <c r="M349" t="s">
        <v>78</v>
      </c>
      <c r="N349" t="s">
        <v>79</v>
      </c>
      <c r="O349" t="s">
        <v>74</v>
      </c>
      <c r="P349" t="s">
        <v>74</v>
      </c>
      <c r="Q349" t="s">
        <v>74</v>
      </c>
      <c r="R349" t="s">
        <v>74</v>
      </c>
      <c r="S349" t="s">
        <v>74</v>
      </c>
      <c r="T349" t="s">
        <v>5615</v>
      </c>
      <c r="U349" t="s">
        <v>5616</v>
      </c>
      <c r="V349" t="s">
        <v>5617</v>
      </c>
      <c r="W349" t="s">
        <v>5618</v>
      </c>
      <c r="X349" t="s">
        <v>5619</v>
      </c>
      <c r="Y349" t="s">
        <v>5620</v>
      </c>
      <c r="Z349" t="s">
        <v>5621</v>
      </c>
      <c r="AA349" t="s">
        <v>5622</v>
      </c>
      <c r="AB349" t="s">
        <v>74</v>
      </c>
      <c r="AC349" t="s">
        <v>74</v>
      </c>
      <c r="AD349" t="s">
        <v>74</v>
      </c>
      <c r="AE349" t="s">
        <v>74</v>
      </c>
      <c r="AF349" t="s">
        <v>74</v>
      </c>
      <c r="AG349">
        <v>62</v>
      </c>
      <c r="AH349">
        <v>9</v>
      </c>
      <c r="AI349">
        <v>12</v>
      </c>
      <c r="AJ349">
        <v>2</v>
      </c>
      <c r="AK349">
        <v>34</v>
      </c>
      <c r="AL349" t="s">
        <v>5623</v>
      </c>
      <c r="AM349" t="s">
        <v>5624</v>
      </c>
      <c r="AN349" t="s">
        <v>5625</v>
      </c>
      <c r="AO349" t="s">
        <v>5626</v>
      </c>
      <c r="AP349" t="s">
        <v>5627</v>
      </c>
      <c r="AQ349" t="s">
        <v>74</v>
      </c>
      <c r="AR349" t="s">
        <v>5614</v>
      </c>
      <c r="AS349" t="s">
        <v>5628</v>
      </c>
      <c r="AT349" t="s">
        <v>4479</v>
      </c>
      <c r="AU349">
        <v>2006</v>
      </c>
      <c r="AV349">
        <v>16</v>
      </c>
      <c r="AW349">
        <v>3</v>
      </c>
      <c r="AX349" t="s">
        <v>74</v>
      </c>
      <c r="AY349" t="s">
        <v>74</v>
      </c>
      <c r="AZ349" t="s">
        <v>74</v>
      </c>
      <c r="BA349" t="s">
        <v>74</v>
      </c>
      <c r="BB349">
        <v>371</v>
      </c>
      <c r="BC349">
        <v>379</v>
      </c>
      <c r="BD349" t="s">
        <v>74</v>
      </c>
      <c r="BE349" t="s">
        <v>5629</v>
      </c>
      <c r="BF349" t="str">
        <f>HYPERLINK("http://dx.doi.org/10.1016/S1002-0160(06)60065-9","http://dx.doi.org/10.1016/S1002-0160(06)60065-9")</f>
        <v>http://dx.doi.org/10.1016/S1002-0160(06)60065-9</v>
      </c>
      <c r="BG349" t="s">
        <v>74</v>
      </c>
      <c r="BH349" t="s">
        <v>74</v>
      </c>
      <c r="BI349">
        <v>9</v>
      </c>
      <c r="BJ349" t="s">
        <v>5630</v>
      </c>
      <c r="BK349" t="s">
        <v>97</v>
      </c>
      <c r="BL349" t="s">
        <v>5631</v>
      </c>
      <c r="BM349" t="s">
        <v>5632</v>
      </c>
      <c r="BN349" t="s">
        <v>74</v>
      </c>
      <c r="BO349" t="s">
        <v>74</v>
      </c>
      <c r="BP349" t="s">
        <v>74</v>
      </c>
      <c r="BQ349" t="s">
        <v>74</v>
      </c>
      <c r="BR349" t="s">
        <v>100</v>
      </c>
      <c r="BS349" t="s">
        <v>5633</v>
      </c>
      <c r="BT349" t="str">
        <f>HYPERLINK("https%3A%2F%2Fwww.webofscience.com%2Fwos%2Fwoscc%2Ffull-record%2FWOS:000238168700013","View Full Record in Web of Science")</f>
        <v>View Full Record in Web of Science</v>
      </c>
    </row>
    <row r="350" spans="1:72" x14ac:dyDescent="0.15">
      <c r="A350" t="s">
        <v>72</v>
      </c>
      <c r="B350" t="s">
        <v>5634</v>
      </c>
      <c r="C350" t="s">
        <v>74</v>
      </c>
      <c r="D350" t="s">
        <v>74</v>
      </c>
      <c r="E350" t="s">
        <v>74</v>
      </c>
      <c r="F350" t="s">
        <v>5635</v>
      </c>
      <c r="G350" t="s">
        <v>74</v>
      </c>
      <c r="H350" t="s">
        <v>74</v>
      </c>
      <c r="I350" t="s">
        <v>5636</v>
      </c>
      <c r="J350" t="s">
        <v>1511</v>
      </c>
      <c r="K350" t="s">
        <v>74</v>
      </c>
      <c r="L350" t="s">
        <v>74</v>
      </c>
      <c r="M350" t="s">
        <v>78</v>
      </c>
      <c r="N350" t="s">
        <v>79</v>
      </c>
      <c r="O350" t="s">
        <v>74</v>
      </c>
      <c r="P350" t="s">
        <v>74</v>
      </c>
      <c r="Q350" t="s">
        <v>74</v>
      </c>
      <c r="R350" t="s">
        <v>74</v>
      </c>
      <c r="S350" t="s">
        <v>74</v>
      </c>
      <c r="T350" t="s">
        <v>74</v>
      </c>
      <c r="U350" t="s">
        <v>5637</v>
      </c>
      <c r="V350" t="s">
        <v>5638</v>
      </c>
      <c r="W350" t="s">
        <v>5639</v>
      </c>
      <c r="X350" t="s">
        <v>5640</v>
      </c>
      <c r="Y350" t="s">
        <v>5641</v>
      </c>
      <c r="Z350" t="s">
        <v>5642</v>
      </c>
      <c r="AA350" t="s">
        <v>5643</v>
      </c>
      <c r="AB350" t="s">
        <v>5644</v>
      </c>
      <c r="AC350" t="s">
        <v>74</v>
      </c>
      <c r="AD350" t="s">
        <v>74</v>
      </c>
      <c r="AE350" t="s">
        <v>74</v>
      </c>
      <c r="AF350" t="s">
        <v>74</v>
      </c>
      <c r="AG350">
        <v>49</v>
      </c>
      <c r="AH350">
        <v>21</v>
      </c>
      <c r="AI350">
        <v>22</v>
      </c>
      <c r="AJ350">
        <v>0</v>
      </c>
      <c r="AK350">
        <v>13</v>
      </c>
      <c r="AL350" t="s">
        <v>994</v>
      </c>
      <c r="AM350" t="s">
        <v>476</v>
      </c>
      <c r="AN350" t="s">
        <v>1519</v>
      </c>
      <c r="AO350" t="s">
        <v>1520</v>
      </c>
      <c r="AP350" t="s">
        <v>74</v>
      </c>
      <c r="AQ350" t="s">
        <v>74</v>
      </c>
      <c r="AR350" t="s">
        <v>1522</v>
      </c>
      <c r="AS350" t="s">
        <v>1523</v>
      </c>
      <c r="AT350" t="s">
        <v>4479</v>
      </c>
      <c r="AU350">
        <v>2006</v>
      </c>
      <c r="AV350">
        <v>29</v>
      </c>
      <c r="AW350">
        <v>7</v>
      </c>
      <c r="AX350" t="s">
        <v>74</v>
      </c>
      <c r="AY350" t="s">
        <v>74</v>
      </c>
      <c r="AZ350" t="s">
        <v>74</v>
      </c>
      <c r="BA350" t="s">
        <v>74</v>
      </c>
      <c r="BB350">
        <v>543</v>
      </c>
      <c r="BC350">
        <v>551</v>
      </c>
      <c r="BD350" t="s">
        <v>74</v>
      </c>
      <c r="BE350" t="s">
        <v>5645</v>
      </c>
      <c r="BF350" t="str">
        <f>HYPERLINK("http://dx.doi.org/10.1007/s00300-005-0086-1","http://dx.doi.org/10.1007/s00300-005-0086-1")</f>
        <v>http://dx.doi.org/10.1007/s00300-005-0086-1</v>
      </c>
      <c r="BG350" t="s">
        <v>74</v>
      </c>
      <c r="BH350" t="s">
        <v>74</v>
      </c>
      <c r="BI350">
        <v>9</v>
      </c>
      <c r="BJ350" t="s">
        <v>1525</v>
      </c>
      <c r="BK350" t="s">
        <v>97</v>
      </c>
      <c r="BL350" t="s">
        <v>1526</v>
      </c>
      <c r="BM350" t="s">
        <v>5646</v>
      </c>
      <c r="BN350" t="s">
        <v>74</v>
      </c>
      <c r="BO350" t="s">
        <v>74</v>
      </c>
      <c r="BP350" t="s">
        <v>74</v>
      </c>
      <c r="BQ350" t="s">
        <v>74</v>
      </c>
      <c r="BR350" t="s">
        <v>100</v>
      </c>
      <c r="BS350" t="s">
        <v>5647</v>
      </c>
      <c r="BT350" t="str">
        <f>HYPERLINK("https%3A%2F%2Fwww.webofscience.com%2Fwos%2Fwoscc%2Ffull-record%2FWOS:000238317800002","View Full Record in Web of Science")</f>
        <v>View Full Record in Web of Science</v>
      </c>
    </row>
    <row r="351" spans="1:72" x14ac:dyDescent="0.15">
      <c r="A351" t="s">
        <v>72</v>
      </c>
      <c r="B351" t="s">
        <v>5648</v>
      </c>
      <c r="C351" t="s">
        <v>74</v>
      </c>
      <c r="D351" t="s">
        <v>74</v>
      </c>
      <c r="E351" t="s">
        <v>74</v>
      </c>
      <c r="F351" t="s">
        <v>5649</v>
      </c>
      <c r="G351" t="s">
        <v>74</v>
      </c>
      <c r="H351" t="s">
        <v>74</v>
      </c>
      <c r="I351" t="s">
        <v>5650</v>
      </c>
      <c r="J351" t="s">
        <v>1511</v>
      </c>
      <c r="K351" t="s">
        <v>74</v>
      </c>
      <c r="L351" t="s">
        <v>74</v>
      </c>
      <c r="M351" t="s">
        <v>78</v>
      </c>
      <c r="N351" t="s">
        <v>79</v>
      </c>
      <c r="O351" t="s">
        <v>74</v>
      </c>
      <c r="P351" t="s">
        <v>74</v>
      </c>
      <c r="Q351" t="s">
        <v>74</v>
      </c>
      <c r="R351" t="s">
        <v>74</v>
      </c>
      <c r="S351" t="s">
        <v>74</v>
      </c>
      <c r="T351" t="s">
        <v>74</v>
      </c>
      <c r="U351" t="s">
        <v>5651</v>
      </c>
      <c r="V351" t="s">
        <v>5652</v>
      </c>
      <c r="W351" t="s">
        <v>5653</v>
      </c>
      <c r="X351" t="s">
        <v>5654</v>
      </c>
      <c r="Y351" t="s">
        <v>5655</v>
      </c>
      <c r="Z351" t="s">
        <v>5656</v>
      </c>
      <c r="AA351" t="s">
        <v>5657</v>
      </c>
      <c r="AB351" t="s">
        <v>5658</v>
      </c>
      <c r="AC351" t="s">
        <v>74</v>
      </c>
      <c r="AD351" t="s">
        <v>74</v>
      </c>
      <c r="AE351" t="s">
        <v>74</v>
      </c>
      <c r="AF351" t="s">
        <v>74</v>
      </c>
      <c r="AG351">
        <v>53</v>
      </c>
      <c r="AH351">
        <v>30</v>
      </c>
      <c r="AI351">
        <v>34</v>
      </c>
      <c r="AJ351">
        <v>0</v>
      </c>
      <c r="AK351">
        <v>11</v>
      </c>
      <c r="AL351" t="s">
        <v>994</v>
      </c>
      <c r="AM351" t="s">
        <v>476</v>
      </c>
      <c r="AN351" t="s">
        <v>1551</v>
      </c>
      <c r="AO351" t="s">
        <v>1520</v>
      </c>
      <c r="AP351" t="s">
        <v>1521</v>
      </c>
      <c r="AQ351" t="s">
        <v>74</v>
      </c>
      <c r="AR351" t="s">
        <v>1522</v>
      </c>
      <c r="AS351" t="s">
        <v>1523</v>
      </c>
      <c r="AT351" t="s">
        <v>4479</v>
      </c>
      <c r="AU351">
        <v>2006</v>
      </c>
      <c r="AV351">
        <v>29</v>
      </c>
      <c r="AW351">
        <v>7</v>
      </c>
      <c r="AX351" t="s">
        <v>74</v>
      </c>
      <c r="AY351" t="s">
        <v>74</v>
      </c>
      <c r="AZ351" t="s">
        <v>74</v>
      </c>
      <c r="BA351" t="s">
        <v>74</v>
      </c>
      <c r="BB351">
        <v>552</v>
      </c>
      <c r="BC351">
        <v>561</v>
      </c>
      <c r="BD351" t="s">
        <v>74</v>
      </c>
      <c r="BE351" t="s">
        <v>5659</v>
      </c>
      <c r="BF351" t="str">
        <f>HYPERLINK("http://dx.doi.org/10.1007/s00300-005-0088-z","http://dx.doi.org/10.1007/s00300-005-0088-z")</f>
        <v>http://dx.doi.org/10.1007/s00300-005-0088-z</v>
      </c>
      <c r="BG351" t="s">
        <v>74</v>
      </c>
      <c r="BH351" t="s">
        <v>74</v>
      </c>
      <c r="BI351">
        <v>10</v>
      </c>
      <c r="BJ351" t="s">
        <v>1525</v>
      </c>
      <c r="BK351" t="s">
        <v>97</v>
      </c>
      <c r="BL351" t="s">
        <v>1526</v>
      </c>
      <c r="BM351" t="s">
        <v>5646</v>
      </c>
      <c r="BN351" t="s">
        <v>74</v>
      </c>
      <c r="BO351" t="s">
        <v>74</v>
      </c>
      <c r="BP351" t="s">
        <v>74</v>
      </c>
      <c r="BQ351" t="s">
        <v>74</v>
      </c>
      <c r="BR351" t="s">
        <v>100</v>
      </c>
      <c r="BS351" t="s">
        <v>5660</v>
      </c>
      <c r="BT351" t="str">
        <f>HYPERLINK("https%3A%2F%2Fwww.webofscience.com%2Fwos%2Fwoscc%2Ffull-record%2FWOS:000238317800003","View Full Record in Web of Science")</f>
        <v>View Full Record in Web of Science</v>
      </c>
    </row>
    <row r="352" spans="1:72" x14ac:dyDescent="0.15">
      <c r="A352" t="s">
        <v>72</v>
      </c>
      <c r="B352" t="s">
        <v>5661</v>
      </c>
      <c r="C352" t="s">
        <v>74</v>
      </c>
      <c r="D352" t="s">
        <v>74</v>
      </c>
      <c r="E352" t="s">
        <v>74</v>
      </c>
      <c r="F352" t="s">
        <v>5662</v>
      </c>
      <c r="G352" t="s">
        <v>74</v>
      </c>
      <c r="H352" t="s">
        <v>74</v>
      </c>
      <c r="I352" t="s">
        <v>5663</v>
      </c>
      <c r="J352" t="s">
        <v>1511</v>
      </c>
      <c r="K352" t="s">
        <v>74</v>
      </c>
      <c r="L352" t="s">
        <v>74</v>
      </c>
      <c r="M352" t="s">
        <v>78</v>
      </c>
      <c r="N352" t="s">
        <v>79</v>
      </c>
      <c r="O352" t="s">
        <v>74</v>
      </c>
      <c r="P352" t="s">
        <v>74</v>
      </c>
      <c r="Q352" t="s">
        <v>74</v>
      </c>
      <c r="R352" t="s">
        <v>74</v>
      </c>
      <c r="S352" t="s">
        <v>74</v>
      </c>
      <c r="T352" t="s">
        <v>74</v>
      </c>
      <c r="U352" t="s">
        <v>5664</v>
      </c>
      <c r="V352" t="s">
        <v>5665</v>
      </c>
      <c r="W352" t="s">
        <v>5666</v>
      </c>
      <c r="X352" t="s">
        <v>407</v>
      </c>
      <c r="Y352" t="s">
        <v>5667</v>
      </c>
      <c r="Z352" t="s">
        <v>5668</v>
      </c>
      <c r="AA352" t="s">
        <v>74</v>
      </c>
      <c r="AB352" t="s">
        <v>74</v>
      </c>
      <c r="AC352" t="s">
        <v>74</v>
      </c>
      <c r="AD352" t="s">
        <v>74</v>
      </c>
      <c r="AE352" t="s">
        <v>74</v>
      </c>
      <c r="AF352" t="s">
        <v>74</v>
      </c>
      <c r="AG352">
        <v>22</v>
      </c>
      <c r="AH352">
        <v>18</v>
      </c>
      <c r="AI352">
        <v>18</v>
      </c>
      <c r="AJ352">
        <v>0</v>
      </c>
      <c r="AK352">
        <v>8</v>
      </c>
      <c r="AL352" t="s">
        <v>994</v>
      </c>
      <c r="AM352" t="s">
        <v>476</v>
      </c>
      <c r="AN352" t="s">
        <v>1519</v>
      </c>
      <c r="AO352" t="s">
        <v>1520</v>
      </c>
      <c r="AP352" t="s">
        <v>1521</v>
      </c>
      <c r="AQ352" t="s">
        <v>74</v>
      </c>
      <c r="AR352" t="s">
        <v>1522</v>
      </c>
      <c r="AS352" t="s">
        <v>1523</v>
      </c>
      <c r="AT352" t="s">
        <v>4479</v>
      </c>
      <c r="AU352">
        <v>2006</v>
      </c>
      <c r="AV352">
        <v>29</v>
      </c>
      <c r="AW352">
        <v>7</v>
      </c>
      <c r="AX352" t="s">
        <v>74</v>
      </c>
      <c r="AY352" t="s">
        <v>74</v>
      </c>
      <c r="AZ352" t="s">
        <v>74</v>
      </c>
      <c r="BA352" t="s">
        <v>74</v>
      </c>
      <c r="BB352">
        <v>581</v>
      </c>
      <c r="BC352">
        <v>584</v>
      </c>
      <c r="BD352" t="s">
        <v>74</v>
      </c>
      <c r="BE352" t="s">
        <v>5669</v>
      </c>
      <c r="BF352" t="str">
        <f>HYPERLINK("http://dx.doi.org/10.1007/s00300-005-0091-4","http://dx.doi.org/10.1007/s00300-005-0091-4")</f>
        <v>http://dx.doi.org/10.1007/s00300-005-0091-4</v>
      </c>
      <c r="BG352" t="s">
        <v>74</v>
      </c>
      <c r="BH352" t="s">
        <v>74</v>
      </c>
      <c r="BI352">
        <v>4</v>
      </c>
      <c r="BJ352" t="s">
        <v>1525</v>
      </c>
      <c r="BK352" t="s">
        <v>97</v>
      </c>
      <c r="BL352" t="s">
        <v>1526</v>
      </c>
      <c r="BM352" t="s">
        <v>5646</v>
      </c>
      <c r="BN352" t="s">
        <v>74</v>
      </c>
      <c r="BO352" t="s">
        <v>74</v>
      </c>
      <c r="BP352" t="s">
        <v>74</v>
      </c>
      <c r="BQ352" t="s">
        <v>74</v>
      </c>
      <c r="BR352" t="s">
        <v>100</v>
      </c>
      <c r="BS352" t="s">
        <v>5670</v>
      </c>
      <c r="BT352" t="str">
        <f>HYPERLINK("https%3A%2F%2Fwww.webofscience.com%2Fwos%2Fwoscc%2Ffull-record%2FWOS:000238317800006","View Full Record in Web of Science")</f>
        <v>View Full Record in Web of Science</v>
      </c>
    </row>
    <row r="353" spans="1:72" x14ac:dyDescent="0.15">
      <c r="A353" t="s">
        <v>72</v>
      </c>
      <c r="B353" t="s">
        <v>5671</v>
      </c>
      <c r="C353" t="s">
        <v>74</v>
      </c>
      <c r="D353" t="s">
        <v>74</v>
      </c>
      <c r="E353" t="s">
        <v>74</v>
      </c>
      <c r="F353" t="s">
        <v>5672</v>
      </c>
      <c r="G353" t="s">
        <v>74</v>
      </c>
      <c r="H353" t="s">
        <v>74</v>
      </c>
      <c r="I353" t="s">
        <v>5673</v>
      </c>
      <c r="J353" t="s">
        <v>1511</v>
      </c>
      <c r="K353" t="s">
        <v>74</v>
      </c>
      <c r="L353" t="s">
        <v>74</v>
      </c>
      <c r="M353" t="s">
        <v>78</v>
      </c>
      <c r="N353" t="s">
        <v>79</v>
      </c>
      <c r="O353" t="s">
        <v>74</v>
      </c>
      <c r="P353" t="s">
        <v>74</v>
      </c>
      <c r="Q353" t="s">
        <v>74</v>
      </c>
      <c r="R353" t="s">
        <v>74</v>
      </c>
      <c r="S353" t="s">
        <v>74</v>
      </c>
      <c r="T353" t="s">
        <v>74</v>
      </c>
      <c r="U353" t="s">
        <v>5674</v>
      </c>
      <c r="V353" t="s">
        <v>5675</v>
      </c>
      <c r="W353" t="s">
        <v>5676</v>
      </c>
      <c r="X353" t="s">
        <v>5677</v>
      </c>
      <c r="Y353" t="s">
        <v>5678</v>
      </c>
      <c r="Z353" t="s">
        <v>5679</v>
      </c>
      <c r="AA353" t="s">
        <v>5680</v>
      </c>
      <c r="AB353" t="s">
        <v>74</v>
      </c>
      <c r="AC353" t="s">
        <v>74</v>
      </c>
      <c r="AD353" t="s">
        <v>74</v>
      </c>
      <c r="AE353" t="s">
        <v>74</v>
      </c>
      <c r="AF353" t="s">
        <v>74</v>
      </c>
      <c r="AG353">
        <v>69</v>
      </c>
      <c r="AH353">
        <v>7</v>
      </c>
      <c r="AI353">
        <v>9</v>
      </c>
      <c r="AJ353">
        <v>0</v>
      </c>
      <c r="AK353">
        <v>14</v>
      </c>
      <c r="AL353" t="s">
        <v>994</v>
      </c>
      <c r="AM353" t="s">
        <v>476</v>
      </c>
      <c r="AN353" t="s">
        <v>1551</v>
      </c>
      <c r="AO353" t="s">
        <v>1520</v>
      </c>
      <c r="AP353" t="s">
        <v>1521</v>
      </c>
      <c r="AQ353" t="s">
        <v>74</v>
      </c>
      <c r="AR353" t="s">
        <v>1522</v>
      </c>
      <c r="AS353" t="s">
        <v>1523</v>
      </c>
      <c r="AT353" t="s">
        <v>4479</v>
      </c>
      <c r="AU353">
        <v>2006</v>
      </c>
      <c r="AV353">
        <v>29</v>
      </c>
      <c r="AW353">
        <v>7</v>
      </c>
      <c r="AX353" t="s">
        <v>74</v>
      </c>
      <c r="AY353" t="s">
        <v>74</v>
      </c>
      <c r="AZ353" t="s">
        <v>74</v>
      </c>
      <c r="BA353" t="s">
        <v>74</v>
      </c>
      <c r="BB353">
        <v>615</v>
      </c>
      <c r="BC353">
        <v>623</v>
      </c>
      <c r="BD353" t="s">
        <v>74</v>
      </c>
      <c r="BE353" t="s">
        <v>5681</v>
      </c>
      <c r="BF353" t="str">
        <f>HYPERLINK("http://dx.doi.org/10.1007/s00300-005-0097-y","http://dx.doi.org/10.1007/s00300-005-0097-y")</f>
        <v>http://dx.doi.org/10.1007/s00300-005-0097-y</v>
      </c>
      <c r="BG353" t="s">
        <v>74</v>
      </c>
      <c r="BH353" t="s">
        <v>74</v>
      </c>
      <c r="BI353">
        <v>9</v>
      </c>
      <c r="BJ353" t="s">
        <v>1525</v>
      </c>
      <c r="BK353" t="s">
        <v>97</v>
      </c>
      <c r="BL353" t="s">
        <v>1526</v>
      </c>
      <c r="BM353" t="s">
        <v>5646</v>
      </c>
      <c r="BN353" t="s">
        <v>74</v>
      </c>
      <c r="BO353" t="s">
        <v>74</v>
      </c>
      <c r="BP353" t="s">
        <v>74</v>
      </c>
      <c r="BQ353" t="s">
        <v>74</v>
      </c>
      <c r="BR353" t="s">
        <v>100</v>
      </c>
      <c r="BS353" t="s">
        <v>5682</v>
      </c>
      <c r="BT353" t="str">
        <f>HYPERLINK("https%3A%2F%2Fwww.webofscience.com%2Fwos%2Fwoscc%2Ffull-record%2FWOS:000238317800011","View Full Record in Web of Science")</f>
        <v>View Full Record in Web of Science</v>
      </c>
    </row>
    <row r="354" spans="1:72" x14ac:dyDescent="0.15">
      <c r="A354" t="s">
        <v>72</v>
      </c>
      <c r="B354" t="s">
        <v>5683</v>
      </c>
      <c r="C354" t="s">
        <v>74</v>
      </c>
      <c r="D354" t="s">
        <v>74</v>
      </c>
      <c r="E354" t="s">
        <v>74</v>
      </c>
      <c r="F354" t="s">
        <v>5684</v>
      </c>
      <c r="G354" t="s">
        <v>74</v>
      </c>
      <c r="H354" t="s">
        <v>74</v>
      </c>
      <c r="I354" t="s">
        <v>5685</v>
      </c>
      <c r="J354" t="s">
        <v>1511</v>
      </c>
      <c r="K354" t="s">
        <v>74</v>
      </c>
      <c r="L354" t="s">
        <v>74</v>
      </c>
      <c r="M354" t="s">
        <v>78</v>
      </c>
      <c r="N354" t="s">
        <v>79</v>
      </c>
      <c r="O354" t="s">
        <v>74</v>
      </c>
      <c r="P354" t="s">
        <v>74</v>
      </c>
      <c r="Q354" t="s">
        <v>74</v>
      </c>
      <c r="R354" t="s">
        <v>74</v>
      </c>
      <c r="S354" t="s">
        <v>74</v>
      </c>
      <c r="T354" t="s">
        <v>74</v>
      </c>
      <c r="U354" t="s">
        <v>5686</v>
      </c>
      <c r="V354" t="s">
        <v>5687</v>
      </c>
      <c r="W354" t="s">
        <v>5688</v>
      </c>
      <c r="X354" t="s">
        <v>5689</v>
      </c>
      <c r="Y354" t="s">
        <v>5690</v>
      </c>
      <c r="Z354" t="s">
        <v>5691</v>
      </c>
      <c r="AA354" t="s">
        <v>5692</v>
      </c>
      <c r="AB354" t="s">
        <v>5693</v>
      </c>
      <c r="AC354" t="s">
        <v>74</v>
      </c>
      <c r="AD354" t="s">
        <v>74</v>
      </c>
      <c r="AE354" t="s">
        <v>74</v>
      </c>
      <c r="AF354" t="s">
        <v>74</v>
      </c>
      <c r="AG354">
        <v>54</v>
      </c>
      <c r="AH354">
        <v>17</v>
      </c>
      <c r="AI354">
        <v>17</v>
      </c>
      <c r="AJ354">
        <v>0</v>
      </c>
      <c r="AK354">
        <v>4</v>
      </c>
      <c r="AL354" t="s">
        <v>994</v>
      </c>
      <c r="AM354" t="s">
        <v>476</v>
      </c>
      <c r="AN354" t="s">
        <v>1551</v>
      </c>
      <c r="AO354" t="s">
        <v>1520</v>
      </c>
      <c r="AP354" t="s">
        <v>1521</v>
      </c>
      <c r="AQ354" t="s">
        <v>74</v>
      </c>
      <c r="AR354" t="s">
        <v>1522</v>
      </c>
      <c r="AS354" t="s">
        <v>1523</v>
      </c>
      <c r="AT354" t="s">
        <v>4479</v>
      </c>
      <c r="AU354">
        <v>2006</v>
      </c>
      <c r="AV354">
        <v>29</v>
      </c>
      <c r="AW354">
        <v>7</v>
      </c>
      <c r="AX354" t="s">
        <v>74</v>
      </c>
      <c r="AY354" t="s">
        <v>74</v>
      </c>
      <c r="AZ354" t="s">
        <v>74</v>
      </c>
      <c r="BA354" t="s">
        <v>74</v>
      </c>
      <c r="BB354">
        <v>624</v>
      </c>
      <c r="BC354">
        <v>631</v>
      </c>
      <c r="BD354" t="s">
        <v>74</v>
      </c>
      <c r="BE354" t="s">
        <v>5694</v>
      </c>
      <c r="BF354" t="str">
        <f>HYPERLINK("http://dx.doi.org/10.1007/s00300-005-0098-x","http://dx.doi.org/10.1007/s00300-005-0098-x")</f>
        <v>http://dx.doi.org/10.1007/s00300-005-0098-x</v>
      </c>
      <c r="BG354" t="s">
        <v>74</v>
      </c>
      <c r="BH354" t="s">
        <v>74</v>
      </c>
      <c r="BI354">
        <v>8</v>
      </c>
      <c r="BJ354" t="s">
        <v>1525</v>
      </c>
      <c r="BK354" t="s">
        <v>97</v>
      </c>
      <c r="BL354" t="s">
        <v>1526</v>
      </c>
      <c r="BM354" t="s">
        <v>5646</v>
      </c>
      <c r="BN354" t="s">
        <v>74</v>
      </c>
      <c r="BO354" t="s">
        <v>74</v>
      </c>
      <c r="BP354" t="s">
        <v>74</v>
      </c>
      <c r="BQ354" t="s">
        <v>74</v>
      </c>
      <c r="BR354" t="s">
        <v>100</v>
      </c>
      <c r="BS354" t="s">
        <v>5695</v>
      </c>
      <c r="BT354" t="str">
        <f>HYPERLINK("https%3A%2F%2Fwww.webofscience.com%2Fwos%2Fwoscc%2Ffull-record%2FWOS:000238317800012","View Full Record in Web of Science")</f>
        <v>View Full Record in Web of Science</v>
      </c>
    </row>
    <row r="355" spans="1:72" x14ac:dyDescent="0.15">
      <c r="A355" t="s">
        <v>72</v>
      </c>
      <c r="B355" t="s">
        <v>5696</v>
      </c>
      <c r="C355" t="s">
        <v>74</v>
      </c>
      <c r="D355" t="s">
        <v>74</v>
      </c>
      <c r="E355" t="s">
        <v>74</v>
      </c>
      <c r="F355" t="s">
        <v>5696</v>
      </c>
      <c r="G355" t="s">
        <v>74</v>
      </c>
      <c r="H355" t="s">
        <v>74</v>
      </c>
      <c r="I355" t="s">
        <v>5697</v>
      </c>
      <c r="J355" t="s">
        <v>1511</v>
      </c>
      <c r="K355" t="s">
        <v>74</v>
      </c>
      <c r="L355" t="s">
        <v>74</v>
      </c>
      <c r="M355" t="s">
        <v>78</v>
      </c>
      <c r="N355" t="s">
        <v>371</v>
      </c>
      <c r="O355" t="s">
        <v>74</v>
      </c>
      <c r="P355" t="s">
        <v>74</v>
      </c>
      <c r="Q355" t="s">
        <v>74</v>
      </c>
      <c r="R355" t="s">
        <v>74</v>
      </c>
      <c r="S355" t="s">
        <v>74</v>
      </c>
      <c r="T355" t="s">
        <v>74</v>
      </c>
      <c r="U355" t="s">
        <v>74</v>
      </c>
      <c r="V355" t="s">
        <v>74</v>
      </c>
      <c r="W355" t="s">
        <v>5698</v>
      </c>
      <c r="X355" t="s">
        <v>5689</v>
      </c>
      <c r="Y355" t="s">
        <v>5699</v>
      </c>
      <c r="Z355" t="s">
        <v>5691</v>
      </c>
      <c r="AA355" t="s">
        <v>5692</v>
      </c>
      <c r="AB355" t="s">
        <v>5693</v>
      </c>
      <c r="AC355" t="s">
        <v>74</v>
      </c>
      <c r="AD355" t="s">
        <v>74</v>
      </c>
      <c r="AE355" t="s">
        <v>74</v>
      </c>
      <c r="AF355" t="s">
        <v>74</v>
      </c>
      <c r="AG355">
        <v>1</v>
      </c>
      <c r="AH355">
        <v>0</v>
      </c>
      <c r="AI355">
        <v>0</v>
      </c>
      <c r="AJ355">
        <v>0</v>
      </c>
      <c r="AK355">
        <v>1</v>
      </c>
      <c r="AL355" t="s">
        <v>994</v>
      </c>
      <c r="AM355" t="s">
        <v>476</v>
      </c>
      <c r="AN355" t="s">
        <v>995</v>
      </c>
      <c r="AO355" t="s">
        <v>1520</v>
      </c>
      <c r="AP355" t="s">
        <v>74</v>
      </c>
      <c r="AQ355" t="s">
        <v>74</v>
      </c>
      <c r="AR355" t="s">
        <v>1522</v>
      </c>
      <c r="AS355" t="s">
        <v>1523</v>
      </c>
      <c r="AT355" t="s">
        <v>4479</v>
      </c>
      <c r="AU355">
        <v>2006</v>
      </c>
      <c r="AV355">
        <v>29</v>
      </c>
      <c r="AW355">
        <v>7</v>
      </c>
      <c r="AX355" t="s">
        <v>74</v>
      </c>
      <c r="AY355" t="s">
        <v>74</v>
      </c>
      <c r="AZ355" t="s">
        <v>74</v>
      </c>
      <c r="BA355" t="s">
        <v>74</v>
      </c>
      <c r="BB355">
        <v>632</v>
      </c>
      <c r="BC355">
        <v>632</v>
      </c>
      <c r="BD355" t="s">
        <v>74</v>
      </c>
      <c r="BE355" t="s">
        <v>5700</v>
      </c>
      <c r="BF355" t="str">
        <f>HYPERLINK("http://dx.doi.org/10.1007/s00300-006-0130-9","http://dx.doi.org/10.1007/s00300-006-0130-9")</f>
        <v>http://dx.doi.org/10.1007/s00300-006-0130-9</v>
      </c>
      <c r="BG355" t="s">
        <v>74</v>
      </c>
      <c r="BH355" t="s">
        <v>74</v>
      </c>
      <c r="BI355">
        <v>1</v>
      </c>
      <c r="BJ355" t="s">
        <v>1525</v>
      </c>
      <c r="BK355" t="s">
        <v>97</v>
      </c>
      <c r="BL355" t="s">
        <v>1526</v>
      </c>
      <c r="BM355" t="s">
        <v>5646</v>
      </c>
      <c r="BN355" t="s">
        <v>74</v>
      </c>
      <c r="BO355" t="s">
        <v>460</v>
      </c>
      <c r="BP355" t="s">
        <v>74</v>
      </c>
      <c r="BQ355" t="s">
        <v>74</v>
      </c>
      <c r="BR355" t="s">
        <v>100</v>
      </c>
      <c r="BS355" t="s">
        <v>5701</v>
      </c>
      <c r="BT355" t="str">
        <f>HYPERLINK("https%3A%2F%2Fwww.webofscience.com%2Fwos%2Fwoscc%2Ffull-record%2FWOS:000238317800013","View Full Record in Web of Science")</f>
        <v>View Full Record in Web of Science</v>
      </c>
    </row>
    <row r="356" spans="1:72" x14ac:dyDescent="0.15">
      <c r="A356" t="s">
        <v>72</v>
      </c>
      <c r="B356" t="s">
        <v>5702</v>
      </c>
      <c r="C356" t="s">
        <v>74</v>
      </c>
      <c r="D356" t="s">
        <v>74</v>
      </c>
      <c r="E356" t="s">
        <v>74</v>
      </c>
      <c r="F356" t="s">
        <v>5703</v>
      </c>
      <c r="G356" t="s">
        <v>74</v>
      </c>
      <c r="H356" t="s">
        <v>74</v>
      </c>
      <c r="I356" t="s">
        <v>5704</v>
      </c>
      <c r="J356" t="s">
        <v>5705</v>
      </c>
      <c r="K356" t="s">
        <v>74</v>
      </c>
      <c r="L356" t="s">
        <v>74</v>
      </c>
      <c r="M356" t="s">
        <v>78</v>
      </c>
      <c r="N356" t="s">
        <v>511</v>
      </c>
      <c r="O356" t="s">
        <v>74</v>
      </c>
      <c r="P356" t="s">
        <v>74</v>
      </c>
      <c r="Q356" t="s">
        <v>74</v>
      </c>
      <c r="R356" t="s">
        <v>74</v>
      </c>
      <c r="S356" t="s">
        <v>74</v>
      </c>
      <c r="T356" t="s">
        <v>74</v>
      </c>
      <c r="U356" t="s">
        <v>5706</v>
      </c>
      <c r="V356" t="s">
        <v>74</v>
      </c>
      <c r="W356" t="s">
        <v>5707</v>
      </c>
      <c r="X356" t="s">
        <v>5708</v>
      </c>
      <c r="Y356" t="s">
        <v>5709</v>
      </c>
      <c r="Z356" t="s">
        <v>5710</v>
      </c>
      <c r="AA356" t="s">
        <v>5711</v>
      </c>
      <c r="AB356" t="s">
        <v>5712</v>
      </c>
      <c r="AC356" t="s">
        <v>74</v>
      </c>
      <c r="AD356" t="s">
        <v>74</v>
      </c>
      <c r="AE356" t="s">
        <v>74</v>
      </c>
      <c r="AF356" t="s">
        <v>74</v>
      </c>
      <c r="AG356">
        <v>216</v>
      </c>
      <c r="AH356">
        <v>210</v>
      </c>
      <c r="AI356">
        <v>227</v>
      </c>
      <c r="AJ356">
        <v>5</v>
      </c>
      <c r="AK356">
        <v>101</v>
      </c>
      <c r="AL356" t="s">
        <v>2790</v>
      </c>
      <c r="AM356" t="s">
        <v>2791</v>
      </c>
      <c r="AN356" t="s">
        <v>2792</v>
      </c>
      <c r="AO356" t="s">
        <v>5713</v>
      </c>
      <c r="AP356" t="s">
        <v>74</v>
      </c>
      <c r="AQ356" t="s">
        <v>74</v>
      </c>
      <c r="AR356" t="s">
        <v>5705</v>
      </c>
      <c r="AS356" t="s">
        <v>5714</v>
      </c>
      <c r="AT356" t="s">
        <v>4479</v>
      </c>
      <c r="AU356">
        <v>2006</v>
      </c>
      <c r="AV356">
        <v>157</v>
      </c>
      <c r="AW356">
        <v>2</v>
      </c>
      <c r="AX356" t="s">
        <v>74</v>
      </c>
      <c r="AY356" t="s">
        <v>74</v>
      </c>
      <c r="AZ356" t="s">
        <v>74</v>
      </c>
      <c r="BA356" t="s">
        <v>74</v>
      </c>
      <c r="BB356">
        <v>91</v>
      </c>
      <c r="BC356">
        <v>124</v>
      </c>
      <c r="BD356" t="s">
        <v>74</v>
      </c>
      <c r="BE356" t="s">
        <v>5715</v>
      </c>
      <c r="BF356" t="str">
        <f>HYPERLINK("http://dx.doi.org/10.1016/j.protis.2006.02.003","http://dx.doi.org/10.1016/j.protis.2006.02.003")</f>
        <v>http://dx.doi.org/10.1016/j.protis.2006.02.003</v>
      </c>
      <c r="BG356" t="s">
        <v>74</v>
      </c>
      <c r="BH356" t="s">
        <v>74</v>
      </c>
      <c r="BI356">
        <v>34</v>
      </c>
      <c r="BJ356" t="s">
        <v>587</v>
      </c>
      <c r="BK356" t="s">
        <v>97</v>
      </c>
      <c r="BL356" t="s">
        <v>587</v>
      </c>
      <c r="BM356" t="s">
        <v>5716</v>
      </c>
      <c r="BN356">
        <v>16621693</v>
      </c>
      <c r="BO356" t="s">
        <v>147</v>
      </c>
      <c r="BP356" t="s">
        <v>74</v>
      </c>
      <c r="BQ356" t="s">
        <v>74</v>
      </c>
      <c r="BR356" t="s">
        <v>100</v>
      </c>
      <c r="BS356" t="s">
        <v>5717</v>
      </c>
      <c r="BT356" t="str">
        <f>HYPERLINK("https%3A%2F%2Fwww.webofscience.com%2Fwos%2Fwoscc%2Ffull-record%2FWOS:000239827700002","View Full Record in Web of Science")</f>
        <v>View Full Record in Web of Science</v>
      </c>
    </row>
    <row r="357" spans="1:72" x14ac:dyDescent="0.15">
      <c r="A357" t="s">
        <v>72</v>
      </c>
      <c r="B357" t="s">
        <v>5718</v>
      </c>
      <c r="C357" t="s">
        <v>74</v>
      </c>
      <c r="D357" t="s">
        <v>74</v>
      </c>
      <c r="E357" t="s">
        <v>74</v>
      </c>
      <c r="F357" t="s">
        <v>5719</v>
      </c>
      <c r="G357" t="s">
        <v>74</v>
      </c>
      <c r="H357" t="s">
        <v>74</v>
      </c>
      <c r="I357" t="s">
        <v>5720</v>
      </c>
      <c r="J357" t="s">
        <v>5721</v>
      </c>
      <c r="K357" t="s">
        <v>74</v>
      </c>
      <c r="L357" t="s">
        <v>74</v>
      </c>
      <c r="M357" t="s">
        <v>78</v>
      </c>
      <c r="N357" t="s">
        <v>79</v>
      </c>
      <c r="O357" t="s">
        <v>74</v>
      </c>
      <c r="P357" t="s">
        <v>74</v>
      </c>
      <c r="Q357" t="s">
        <v>74</v>
      </c>
      <c r="R357" t="s">
        <v>74</v>
      </c>
      <c r="S357" t="s">
        <v>74</v>
      </c>
      <c r="T357" t="s">
        <v>74</v>
      </c>
      <c r="U357" t="s">
        <v>5722</v>
      </c>
      <c r="V357" t="s">
        <v>5723</v>
      </c>
      <c r="W357" t="s">
        <v>5724</v>
      </c>
      <c r="X357" t="s">
        <v>5725</v>
      </c>
      <c r="Y357" t="s">
        <v>5726</v>
      </c>
      <c r="Z357" t="s">
        <v>5727</v>
      </c>
      <c r="AA357" t="s">
        <v>74</v>
      </c>
      <c r="AB357" t="s">
        <v>5728</v>
      </c>
      <c r="AC357" t="s">
        <v>74</v>
      </c>
      <c r="AD357" t="s">
        <v>74</v>
      </c>
      <c r="AE357" t="s">
        <v>74</v>
      </c>
      <c r="AF357" t="s">
        <v>74</v>
      </c>
      <c r="AG357">
        <v>95</v>
      </c>
      <c r="AH357">
        <v>144</v>
      </c>
      <c r="AI357">
        <v>181</v>
      </c>
      <c r="AJ357">
        <v>0</v>
      </c>
      <c r="AK357">
        <v>51</v>
      </c>
      <c r="AL357" t="s">
        <v>387</v>
      </c>
      <c r="AM357" t="s">
        <v>388</v>
      </c>
      <c r="AN357" t="s">
        <v>389</v>
      </c>
      <c r="AO357" t="s">
        <v>5729</v>
      </c>
      <c r="AP357" t="s">
        <v>74</v>
      </c>
      <c r="AQ357" t="s">
        <v>74</v>
      </c>
      <c r="AR357" t="s">
        <v>5730</v>
      </c>
      <c r="AS357" t="s">
        <v>5731</v>
      </c>
      <c r="AT357" t="s">
        <v>4479</v>
      </c>
      <c r="AU357">
        <v>2006</v>
      </c>
      <c r="AV357">
        <v>25</v>
      </c>
      <c r="AW357" t="s">
        <v>5732</v>
      </c>
      <c r="AX357" t="s">
        <v>74</v>
      </c>
      <c r="AY357" t="s">
        <v>74</v>
      </c>
      <c r="AZ357" t="s">
        <v>74</v>
      </c>
      <c r="BA357" t="s">
        <v>74</v>
      </c>
      <c r="BB357">
        <v>1152</v>
      </c>
      <c r="BC357">
        <v>1167</v>
      </c>
      <c r="BD357" t="s">
        <v>74</v>
      </c>
      <c r="BE357" t="s">
        <v>5733</v>
      </c>
      <c r="BF357" t="str">
        <f>HYPERLINK("http://dx.doi.org/10.1016/j.quascirev.2005.11.010","http://dx.doi.org/10.1016/j.quascirev.2005.11.010")</f>
        <v>http://dx.doi.org/10.1016/j.quascirev.2005.11.010</v>
      </c>
      <c r="BG357" t="s">
        <v>74</v>
      </c>
      <c r="BH357" t="s">
        <v>74</v>
      </c>
      <c r="BI357">
        <v>16</v>
      </c>
      <c r="BJ357" t="s">
        <v>2893</v>
      </c>
      <c r="BK357" t="s">
        <v>97</v>
      </c>
      <c r="BL357" t="s">
        <v>2894</v>
      </c>
      <c r="BM357" t="s">
        <v>5734</v>
      </c>
      <c r="BN357" t="s">
        <v>74</v>
      </c>
      <c r="BO357" t="s">
        <v>74</v>
      </c>
      <c r="BP357" t="s">
        <v>74</v>
      </c>
      <c r="BQ357" t="s">
        <v>74</v>
      </c>
      <c r="BR357" t="s">
        <v>100</v>
      </c>
      <c r="BS357" t="s">
        <v>5735</v>
      </c>
      <c r="BT357" t="str">
        <f>HYPERLINK("https%3A%2F%2Fwww.webofscience.com%2Fwos%2Fwoscc%2Ffull-record%2FWOS:000238694100003","View Full Record in Web of Science")</f>
        <v>View Full Record in Web of Science</v>
      </c>
    </row>
    <row r="358" spans="1:72" x14ac:dyDescent="0.15">
      <c r="A358" t="s">
        <v>72</v>
      </c>
      <c r="B358" t="s">
        <v>5736</v>
      </c>
      <c r="C358" t="s">
        <v>74</v>
      </c>
      <c r="D358" t="s">
        <v>74</v>
      </c>
      <c r="E358" t="s">
        <v>74</v>
      </c>
      <c r="F358" t="s">
        <v>5737</v>
      </c>
      <c r="G358" t="s">
        <v>74</v>
      </c>
      <c r="H358" t="s">
        <v>74</v>
      </c>
      <c r="I358" t="s">
        <v>5738</v>
      </c>
      <c r="J358" t="s">
        <v>5739</v>
      </c>
      <c r="K358" t="s">
        <v>74</v>
      </c>
      <c r="L358" t="s">
        <v>74</v>
      </c>
      <c r="M358" t="s">
        <v>5740</v>
      </c>
      <c r="N358" t="s">
        <v>79</v>
      </c>
      <c r="O358" t="s">
        <v>74</v>
      </c>
      <c r="P358" t="s">
        <v>74</v>
      </c>
      <c r="Q358" t="s">
        <v>74</v>
      </c>
      <c r="R358" t="s">
        <v>74</v>
      </c>
      <c r="S358" t="s">
        <v>74</v>
      </c>
      <c r="T358" t="s">
        <v>5741</v>
      </c>
      <c r="U358" t="s">
        <v>74</v>
      </c>
      <c r="V358" t="s">
        <v>5742</v>
      </c>
      <c r="W358" t="s">
        <v>5743</v>
      </c>
      <c r="X358" t="s">
        <v>5744</v>
      </c>
      <c r="Y358" t="s">
        <v>5745</v>
      </c>
      <c r="Z358" t="s">
        <v>5746</v>
      </c>
      <c r="AA358" t="s">
        <v>5747</v>
      </c>
      <c r="AB358" t="s">
        <v>74</v>
      </c>
      <c r="AC358" t="s">
        <v>74</v>
      </c>
      <c r="AD358" t="s">
        <v>74</v>
      </c>
      <c r="AE358" t="s">
        <v>74</v>
      </c>
      <c r="AF358" t="s">
        <v>74</v>
      </c>
      <c r="AG358">
        <v>14</v>
      </c>
      <c r="AH358">
        <v>0</v>
      </c>
      <c r="AI358">
        <v>0</v>
      </c>
      <c r="AJ358">
        <v>1</v>
      </c>
      <c r="AK358">
        <v>1</v>
      </c>
      <c r="AL358" t="s">
        <v>5748</v>
      </c>
      <c r="AM358" t="s">
        <v>5749</v>
      </c>
      <c r="AN358" t="s">
        <v>5750</v>
      </c>
      <c r="AO358" t="s">
        <v>5751</v>
      </c>
      <c r="AP358" t="s">
        <v>5752</v>
      </c>
      <c r="AQ358" t="s">
        <v>74</v>
      </c>
      <c r="AR358" t="s">
        <v>5753</v>
      </c>
      <c r="AS358" t="s">
        <v>5754</v>
      </c>
      <c r="AT358" t="s">
        <v>4479</v>
      </c>
      <c r="AU358">
        <v>2006</v>
      </c>
      <c r="AV358" t="s">
        <v>74</v>
      </c>
      <c r="AW358">
        <v>25</v>
      </c>
      <c r="AX358" t="s">
        <v>74</v>
      </c>
      <c r="AY358" t="s">
        <v>74</v>
      </c>
      <c r="AZ358" t="s">
        <v>5755</v>
      </c>
      <c r="BA358" t="s">
        <v>74</v>
      </c>
      <c r="BB358">
        <v>30</v>
      </c>
      <c r="BC358">
        <v>34</v>
      </c>
      <c r="BD358" t="s">
        <v>74</v>
      </c>
      <c r="BE358" t="s">
        <v>74</v>
      </c>
      <c r="BF358" t="s">
        <v>74</v>
      </c>
      <c r="BG358" t="s">
        <v>74</v>
      </c>
      <c r="BH358" t="s">
        <v>74</v>
      </c>
      <c r="BI358">
        <v>5</v>
      </c>
      <c r="BJ358" t="s">
        <v>5756</v>
      </c>
      <c r="BK358" t="s">
        <v>3112</v>
      </c>
      <c r="BL358" t="s">
        <v>5756</v>
      </c>
      <c r="BM358" t="s">
        <v>5757</v>
      </c>
      <c r="BN358" t="s">
        <v>74</v>
      </c>
      <c r="BO358" t="s">
        <v>74</v>
      </c>
      <c r="BP358" t="s">
        <v>74</v>
      </c>
      <c r="BQ358" t="s">
        <v>74</v>
      </c>
      <c r="BR358" t="s">
        <v>100</v>
      </c>
      <c r="BS358" t="s">
        <v>5758</v>
      </c>
      <c r="BT358" t="str">
        <f>HYPERLINK("https%3A%2F%2Fwww.webofscience.com%2Fwos%2Fwoscc%2Ffull-record%2FWOS:000215961600006","View Full Record in Web of Science")</f>
        <v>View Full Record in Web of Science</v>
      </c>
    </row>
    <row r="359" spans="1:72" x14ac:dyDescent="0.15">
      <c r="A359" t="s">
        <v>72</v>
      </c>
      <c r="B359" t="s">
        <v>5759</v>
      </c>
      <c r="C359" t="s">
        <v>74</v>
      </c>
      <c r="D359" t="s">
        <v>74</v>
      </c>
      <c r="E359" t="s">
        <v>74</v>
      </c>
      <c r="F359" t="s">
        <v>5760</v>
      </c>
      <c r="G359" t="s">
        <v>74</v>
      </c>
      <c r="H359" t="s">
        <v>74</v>
      </c>
      <c r="I359" t="s">
        <v>5761</v>
      </c>
      <c r="J359" t="s">
        <v>1703</v>
      </c>
      <c r="K359" t="s">
        <v>74</v>
      </c>
      <c r="L359" t="s">
        <v>74</v>
      </c>
      <c r="M359" t="s">
        <v>78</v>
      </c>
      <c r="N359" t="s">
        <v>79</v>
      </c>
      <c r="O359" t="s">
        <v>74</v>
      </c>
      <c r="P359" t="s">
        <v>74</v>
      </c>
      <c r="Q359" t="s">
        <v>74</v>
      </c>
      <c r="R359" t="s">
        <v>74</v>
      </c>
      <c r="S359" t="s">
        <v>74</v>
      </c>
      <c r="T359" t="s">
        <v>5762</v>
      </c>
      <c r="U359" t="s">
        <v>5763</v>
      </c>
      <c r="V359" t="s">
        <v>5764</v>
      </c>
      <c r="W359" t="s">
        <v>5765</v>
      </c>
      <c r="X359" t="s">
        <v>5766</v>
      </c>
      <c r="Y359" t="s">
        <v>5767</v>
      </c>
      <c r="Z359" t="s">
        <v>5768</v>
      </c>
      <c r="AA359" t="s">
        <v>5769</v>
      </c>
      <c r="AB359" t="s">
        <v>5770</v>
      </c>
      <c r="AC359" t="s">
        <v>74</v>
      </c>
      <c r="AD359" t="s">
        <v>74</v>
      </c>
      <c r="AE359" t="s">
        <v>74</v>
      </c>
      <c r="AF359" t="s">
        <v>74</v>
      </c>
      <c r="AG359">
        <v>35</v>
      </c>
      <c r="AH359">
        <v>2</v>
      </c>
      <c r="AI359">
        <v>2</v>
      </c>
      <c r="AJ359">
        <v>0</v>
      </c>
      <c r="AK359">
        <v>4</v>
      </c>
      <c r="AL359" t="s">
        <v>1261</v>
      </c>
      <c r="AM359" t="s">
        <v>520</v>
      </c>
      <c r="AN359" t="s">
        <v>1262</v>
      </c>
      <c r="AO359" t="s">
        <v>1713</v>
      </c>
      <c r="AP359" t="s">
        <v>1714</v>
      </c>
      <c r="AQ359" t="s">
        <v>74</v>
      </c>
      <c r="AR359" t="s">
        <v>1715</v>
      </c>
      <c r="AS359" t="s">
        <v>1716</v>
      </c>
      <c r="AT359" t="s">
        <v>5107</v>
      </c>
      <c r="AU359">
        <v>2006</v>
      </c>
      <c r="AV359">
        <v>362</v>
      </c>
      <c r="AW359" t="s">
        <v>5771</v>
      </c>
      <c r="AX359" t="s">
        <v>74</v>
      </c>
      <c r="AY359" t="s">
        <v>74</v>
      </c>
      <c r="AZ359" t="s">
        <v>74</v>
      </c>
      <c r="BA359" t="s">
        <v>74</v>
      </c>
      <c r="BB359">
        <v>242</v>
      </c>
      <c r="BC359">
        <v>258</v>
      </c>
      <c r="BD359" t="s">
        <v>74</v>
      </c>
      <c r="BE359" t="s">
        <v>5772</v>
      </c>
      <c r="BF359" t="str">
        <f>HYPERLINK("http://dx.doi.org/10.1016/j.scitotenv.2005.05.004","http://dx.doi.org/10.1016/j.scitotenv.2005.05.004")</f>
        <v>http://dx.doi.org/10.1016/j.scitotenv.2005.05.004</v>
      </c>
      <c r="BG359" t="s">
        <v>74</v>
      </c>
      <c r="BH359" t="s">
        <v>74</v>
      </c>
      <c r="BI359">
        <v>17</v>
      </c>
      <c r="BJ359" t="s">
        <v>439</v>
      </c>
      <c r="BK359" t="s">
        <v>97</v>
      </c>
      <c r="BL359" t="s">
        <v>420</v>
      </c>
      <c r="BM359" t="s">
        <v>5773</v>
      </c>
      <c r="BN359" t="s">
        <v>74</v>
      </c>
      <c r="BO359" t="s">
        <v>74</v>
      </c>
      <c r="BP359" t="s">
        <v>74</v>
      </c>
      <c r="BQ359" t="s">
        <v>74</v>
      </c>
      <c r="BR359" t="s">
        <v>100</v>
      </c>
      <c r="BS359" t="s">
        <v>5774</v>
      </c>
      <c r="BT359" t="str">
        <f>HYPERLINK("https%3A%2F%2Fwww.webofscience.com%2Fwos%2Fwoscc%2Ffull-record%2FWOS:000238739900017","View Full Record in Web of Science")</f>
        <v>View Full Record in Web of Science</v>
      </c>
    </row>
    <row r="360" spans="1:72" x14ac:dyDescent="0.15">
      <c r="A360" t="s">
        <v>72</v>
      </c>
      <c r="B360" t="s">
        <v>5775</v>
      </c>
      <c r="C360" t="s">
        <v>74</v>
      </c>
      <c r="D360" t="s">
        <v>74</v>
      </c>
      <c r="E360" t="s">
        <v>74</v>
      </c>
      <c r="F360" t="s">
        <v>5776</v>
      </c>
      <c r="G360" t="s">
        <v>74</v>
      </c>
      <c r="H360" t="s">
        <v>74</v>
      </c>
      <c r="I360" t="s">
        <v>5777</v>
      </c>
      <c r="J360" t="s">
        <v>1703</v>
      </c>
      <c r="K360" t="s">
        <v>74</v>
      </c>
      <c r="L360" t="s">
        <v>74</v>
      </c>
      <c r="M360" t="s">
        <v>78</v>
      </c>
      <c r="N360" t="s">
        <v>79</v>
      </c>
      <c r="O360" t="s">
        <v>74</v>
      </c>
      <c r="P360" t="s">
        <v>74</v>
      </c>
      <c r="Q360" t="s">
        <v>74</v>
      </c>
      <c r="R360" t="s">
        <v>74</v>
      </c>
      <c r="S360" t="s">
        <v>74</v>
      </c>
      <c r="T360" t="s">
        <v>5778</v>
      </c>
      <c r="U360" t="s">
        <v>5779</v>
      </c>
      <c r="V360" t="s">
        <v>5780</v>
      </c>
      <c r="W360" t="s">
        <v>5781</v>
      </c>
      <c r="X360" t="s">
        <v>5782</v>
      </c>
      <c r="Y360" t="s">
        <v>5783</v>
      </c>
      <c r="Z360" t="s">
        <v>5784</v>
      </c>
      <c r="AA360" t="s">
        <v>74</v>
      </c>
      <c r="AB360" t="s">
        <v>5785</v>
      </c>
      <c r="AC360" t="s">
        <v>74</v>
      </c>
      <c r="AD360" t="s">
        <v>74</v>
      </c>
      <c r="AE360" t="s">
        <v>74</v>
      </c>
      <c r="AF360" t="s">
        <v>74</v>
      </c>
      <c r="AG360">
        <v>37</v>
      </c>
      <c r="AH360">
        <v>73</v>
      </c>
      <c r="AI360">
        <v>79</v>
      </c>
      <c r="AJ360">
        <v>3</v>
      </c>
      <c r="AK360">
        <v>57</v>
      </c>
      <c r="AL360" t="s">
        <v>1261</v>
      </c>
      <c r="AM360" t="s">
        <v>520</v>
      </c>
      <c r="AN360" t="s">
        <v>1262</v>
      </c>
      <c r="AO360" t="s">
        <v>1713</v>
      </c>
      <c r="AP360" t="s">
        <v>1714</v>
      </c>
      <c r="AQ360" t="s">
        <v>74</v>
      </c>
      <c r="AR360" t="s">
        <v>1715</v>
      </c>
      <c r="AS360" t="s">
        <v>1716</v>
      </c>
      <c r="AT360" t="s">
        <v>5107</v>
      </c>
      <c r="AU360">
        <v>2006</v>
      </c>
      <c r="AV360">
        <v>362</v>
      </c>
      <c r="AW360" t="s">
        <v>5771</v>
      </c>
      <c r="AX360" t="s">
        <v>74</v>
      </c>
      <c r="AY360" t="s">
        <v>74</v>
      </c>
      <c r="AZ360" t="s">
        <v>74</v>
      </c>
      <c r="BA360" t="s">
        <v>74</v>
      </c>
      <c r="BB360">
        <v>259</v>
      </c>
      <c r="BC360">
        <v>265</v>
      </c>
      <c r="BD360" t="s">
        <v>74</v>
      </c>
      <c r="BE360" t="s">
        <v>5786</v>
      </c>
      <c r="BF360" t="str">
        <f>HYPERLINK("http://dx.doi.org/10.1016/j.scitotenv.2005.05.008","http://dx.doi.org/10.1016/j.scitotenv.2005.05.008")</f>
        <v>http://dx.doi.org/10.1016/j.scitotenv.2005.05.008</v>
      </c>
      <c r="BG360" t="s">
        <v>74</v>
      </c>
      <c r="BH360" t="s">
        <v>74</v>
      </c>
      <c r="BI360">
        <v>7</v>
      </c>
      <c r="BJ360" t="s">
        <v>439</v>
      </c>
      <c r="BK360" t="s">
        <v>97</v>
      </c>
      <c r="BL360" t="s">
        <v>420</v>
      </c>
      <c r="BM360" t="s">
        <v>5773</v>
      </c>
      <c r="BN360">
        <v>15967486</v>
      </c>
      <c r="BO360" t="s">
        <v>74</v>
      </c>
      <c r="BP360" t="s">
        <v>74</v>
      </c>
      <c r="BQ360" t="s">
        <v>74</v>
      </c>
      <c r="BR360" t="s">
        <v>100</v>
      </c>
      <c r="BS360" t="s">
        <v>5787</v>
      </c>
      <c r="BT360" t="str">
        <f>HYPERLINK("https%3A%2F%2Fwww.webofscience.com%2Fwos%2Fwoscc%2Ffull-record%2FWOS:000238739900018","View Full Record in Web of Science")</f>
        <v>View Full Record in Web of Science</v>
      </c>
    </row>
    <row r="361" spans="1:72" x14ac:dyDescent="0.15">
      <c r="A361" t="s">
        <v>72</v>
      </c>
      <c r="B361" t="s">
        <v>5788</v>
      </c>
      <c r="C361" t="s">
        <v>74</v>
      </c>
      <c r="D361" t="s">
        <v>74</v>
      </c>
      <c r="E361" t="s">
        <v>74</v>
      </c>
      <c r="F361" t="s">
        <v>5789</v>
      </c>
      <c r="G361" t="s">
        <v>74</v>
      </c>
      <c r="H361" t="s">
        <v>74</v>
      </c>
      <c r="I361" t="s">
        <v>5790</v>
      </c>
      <c r="J361" t="s">
        <v>5791</v>
      </c>
      <c r="K361" t="s">
        <v>74</v>
      </c>
      <c r="L361" t="s">
        <v>74</v>
      </c>
      <c r="M361" t="s">
        <v>78</v>
      </c>
      <c r="N361" t="s">
        <v>79</v>
      </c>
      <c r="O361" t="s">
        <v>74</v>
      </c>
      <c r="P361" t="s">
        <v>74</v>
      </c>
      <c r="Q361" t="s">
        <v>74</v>
      </c>
      <c r="R361" t="s">
        <v>74</v>
      </c>
      <c r="S361" t="s">
        <v>74</v>
      </c>
      <c r="T361" t="s">
        <v>5792</v>
      </c>
      <c r="U361" t="s">
        <v>5793</v>
      </c>
      <c r="V361" t="s">
        <v>5794</v>
      </c>
      <c r="W361" t="s">
        <v>5795</v>
      </c>
      <c r="X361" t="s">
        <v>5796</v>
      </c>
      <c r="Y361" t="s">
        <v>5797</v>
      </c>
      <c r="Z361" t="s">
        <v>5798</v>
      </c>
      <c r="AA361" t="s">
        <v>5799</v>
      </c>
      <c r="AB361" t="s">
        <v>5800</v>
      </c>
      <c r="AC361" t="s">
        <v>74</v>
      </c>
      <c r="AD361" t="s">
        <v>74</v>
      </c>
      <c r="AE361" t="s">
        <v>74</v>
      </c>
      <c r="AF361" t="s">
        <v>74</v>
      </c>
      <c r="AG361">
        <v>15</v>
      </c>
      <c r="AH361">
        <v>5</v>
      </c>
      <c r="AI361">
        <v>5</v>
      </c>
      <c r="AJ361">
        <v>0</v>
      </c>
      <c r="AK361">
        <v>2</v>
      </c>
      <c r="AL361" t="s">
        <v>5801</v>
      </c>
      <c r="AM361" t="s">
        <v>5802</v>
      </c>
      <c r="AN361" t="s">
        <v>5803</v>
      </c>
      <c r="AO361" t="s">
        <v>5804</v>
      </c>
      <c r="AP361" t="s">
        <v>5805</v>
      </c>
      <c r="AQ361" t="s">
        <v>74</v>
      </c>
      <c r="AR361" t="s">
        <v>5806</v>
      </c>
      <c r="AS361" t="s">
        <v>5807</v>
      </c>
      <c r="AT361" t="s">
        <v>4479</v>
      </c>
      <c r="AU361">
        <v>2006</v>
      </c>
      <c r="AV361">
        <v>70</v>
      </c>
      <c r="AW361">
        <v>2</v>
      </c>
      <c r="AX361" t="s">
        <v>74</v>
      </c>
      <c r="AY361" t="s">
        <v>74</v>
      </c>
      <c r="AZ361" t="s">
        <v>74</v>
      </c>
      <c r="BA361" t="s">
        <v>74</v>
      </c>
      <c r="BB361">
        <v>243</v>
      </c>
      <c r="BC361">
        <v>259</v>
      </c>
      <c r="BD361" t="s">
        <v>74</v>
      </c>
      <c r="BE361" t="s">
        <v>5808</v>
      </c>
      <c r="BF361" t="str">
        <f>HYPERLINK("http://dx.doi.org/10.3989/scimar.2006.70n2243","http://dx.doi.org/10.3989/scimar.2006.70n2243")</f>
        <v>http://dx.doi.org/10.3989/scimar.2006.70n2243</v>
      </c>
      <c r="BG361" t="s">
        <v>74</v>
      </c>
      <c r="BH361" t="s">
        <v>74</v>
      </c>
      <c r="BI361">
        <v>17</v>
      </c>
      <c r="BJ361" t="s">
        <v>1146</v>
      </c>
      <c r="BK361" t="s">
        <v>97</v>
      </c>
      <c r="BL361" t="s">
        <v>1146</v>
      </c>
      <c r="BM361" t="s">
        <v>5809</v>
      </c>
      <c r="BN361" t="s">
        <v>74</v>
      </c>
      <c r="BO361" t="s">
        <v>5810</v>
      </c>
      <c r="BP361" t="s">
        <v>74</v>
      </c>
      <c r="BQ361" t="s">
        <v>74</v>
      </c>
      <c r="BR361" t="s">
        <v>100</v>
      </c>
      <c r="BS361" t="s">
        <v>5811</v>
      </c>
      <c r="BT361" t="str">
        <f>HYPERLINK("https%3A%2F%2Fwww.webofscience.com%2Fwos%2Fwoscc%2Ffull-record%2FWOS:000238328600008","View Full Record in Web of Science")</f>
        <v>View Full Record in Web of Science</v>
      </c>
    </row>
    <row r="362" spans="1:72" x14ac:dyDescent="0.15">
      <c r="A362" t="s">
        <v>72</v>
      </c>
      <c r="B362" t="s">
        <v>5812</v>
      </c>
      <c r="C362" t="s">
        <v>74</v>
      </c>
      <c r="D362" t="s">
        <v>74</v>
      </c>
      <c r="E362" t="s">
        <v>74</v>
      </c>
      <c r="F362" t="s">
        <v>5812</v>
      </c>
      <c r="G362" t="s">
        <v>74</v>
      </c>
      <c r="H362" t="s">
        <v>74</v>
      </c>
      <c r="I362" t="s">
        <v>5813</v>
      </c>
      <c r="J362" t="s">
        <v>5814</v>
      </c>
      <c r="K362" t="s">
        <v>74</v>
      </c>
      <c r="L362" t="s">
        <v>74</v>
      </c>
      <c r="M362" t="s">
        <v>78</v>
      </c>
      <c r="N362" t="s">
        <v>79</v>
      </c>
      <c r="O362" t="s">
        <v>74</v>
      </c>
      <c r="P362" t="s">
        <v>74</v>
      </c>
      <c r="Q362" t="s">
        <v>74</v>
      </c>
      <c r="R362" t="s">
        <v>74</v>
      </c>
      <c r="S362" t="s">
        <v>74</v>
      </c>
      <c r="T362" t="s">
        <v>5815</v>
      </c>
      <c r="U362" t="s">
        <v>5816</v>
      </c>
      <c r="V362" t="s">
        <v>5817</v>
      </c>
      <c r="W362" t="s">
        <v>5818</v>
      </c>
      <c r="X362" t="s">
        <v>5819</v>
      </c>
      <c r="Y362" t="s">
        <v>5820</v>
      </c>
      <c r="Z362" t="s">
        <v>5821</v>
      </c>
      <c r="AA362" t="s">
        <v>5822</v>
      </c>
      <c r="AB362" t="s">
        <v>5823</v>
      </c>
      <c r="AC362" t="s">
        <v>5824</v>
      </c>
      <c r="AD362" t="s">
        <v>413</v>
      </c>
      <c r="AE362" t="s">
        <v>74</v>
      </c>
      <c r="AF362" t="s">
        <v>74</v>
      </c>
      <c r="AG362">
        <v>17</v>
      </c>
      <c r="AH362">
        <v>8</v>
      </c>
      <c r="AI362">
        <v>8</v>
      </c>
      <c r="AJ362">
        <v>0</v>
      </c>
      <c r="AK362">
        <v>8</v>
      </c>
      <c r="AL362" t="s">
        <v>387</v>
      </c>
      <c r="AM362" t="s">
        <v>388</v>
      </c>
      <c r="AN362" t="s">
        <v>389</v>
      </c>
      <c r="AO362" t="s">
        <v>5825</v>
      </c>
      <c r="AP362" t="s">
        <v>74</v>
      </c>
      <c r="AQ362" t="s">
        <v>74</v>
      </c>
      <c r="AR362" t="s">
        <v>5826</v>
      </c>
      <c r="AS362" t="s">
        <v>5827</v>
      </c>
      <c r="AT362" t="s">
        <v>4479</v>
      </c>
      <c r="AU362">
        <v>2006</v>
      </c>
      <c r="AV362">
        <v>38</v>
      </c>
      <c r="AW362">
        <v>6</v>
      </c>
      <c r="AX362" t="s">
        <v>74</v>
      </c>
      <c r="AY362" t="s">
        <v>74</v>
      </c>
      <c r="AZ362" t="s">
        <v>74</v>
      </c>
      <c r="BA362" t="s">
        <v>74</v>
      </c>
      <c r="BB362">
        <v>1488</v>
      </c>
      <c r="BC362">
        <v>1490</v>
      </c>
      <c r="BD362" t="s">
        <v>74</v>
      </c>
      <c r="BE362" t="s">
        <v>5828</v>
      </c>
      <c r="BF362" t="str">
        <f>HYPERLINK("http://dx.doi.org/10.1016/j.soilbio.2005.09.021","http://dx.doi.org/10.1016/j.soilbio.2005.09.021")</f>
        <v>http://dx.doi.org/10.1016/j.soilbio.2005.09.021</v>
      </c>
      <c r="BG362" t="s">
        <v>74</v>
      </c>
      <c r="BH362" t="s">
        <v>74</v>
      </c>
      <c r="BI362">
        <v>3</v>
      </c>
      <c r="BJ362" t="s">
        <v>5630</v>
      </c>
      <c r="BK362" t="s">
        <v>97</v>
      </c>
      <c r="BL362" t="s">
        <v>5631</v>
      </c>
      <c r="BM362" t="s">
        <v>5829</v>
      </c>
      <c r="BN362" t="s">
        <v>74</v>
      </c>
      <c r="BO362" t="s">
        <v>74</v>
      </c>
      <c r="BP362" t="s">
        <v>74</v>
      </c>
      <c r="BQ362" t="s">
        <v>74</v>
      </c>
      <c r="BR362" t="s">
        <v>100</v>
      </c>
      <c r="BS362" t="s">
        <v>5830</v>
      </c>
      <c r="BT362" t="str">
        <f>HYPERLINK("https%3A%2F%2Fwww.webofscience.com%2Fwos%2Fwoscc%2Ffull-record%2FWOS:000238028700038","View Full Record in Web of Science")</f>
        <v>View Full Record in Web of Science</v>
      </c>
    </row>
    <row r="363" spans="1:72" x14ac:dyDescent="0.15">
      <c r="A363" t="s">
        <v>72</v>
      </c>
      <c r="B363" t="s">
        <v>5831</v>
      </c>
      <c r="C363" t="s">
        <v>74</v>
      </c>
      <c r="D363" t="s">
        <v>74</v>
      </c>
      <c r="E363" t="s">
        <v>74</v>
      </c>
      <c r="F363" t="s">
        <v>5832</v>
      </c>
      <c r="G363" t="s">
        <v>74</v>
      </c>
      <c r="H363" t="s">
        <v>74</v>
      </c>
      <c r="I363" t="s">
        <v>5833</v>
      </c>
      <c r="J363" t="s">
        <v>2470</v>
      </c>
      <c r="K363" t="s">
        <v>74</v>
      </c>
      <c r="L363" t="s">
        <v>74</v>
      </c>
      <c r="M363" t="s">
        <v>78</v>
      </c>
      <c r="N363" t="s">
        <v>79</v>
      </c>
      <c r="O363" t="s">
        <v>74</v>
      </c>
      <c r="P363" t="s">
        <v>74</v>
      </c>
      <c r="Q363" t="s">
        <v>74</v>
      </c>
      <c r="R363" t="s">
        <v>74</v>
      </c>
      <c r="S363" t="s">
        <v>74</v>
      </c>
      <c r="T363" t="s">
        <v>5834</v>
      </c>
      <c r="U363" t="s">
        <v>5835</v>
      </c>
      <c r="V363" t="s">
        <v>5836</v>
      </c>
      <c r="W363" t="s">
        <v>5837</v>
      </c>
      <c r="X363" t="s">
        <v>5838</v>
      </c>
      <c r="Y363" t="s">
        <v>5839</v>
      </c>
      <c r="Z363" t="s">
        <v>5840</v>
      </c>
      <c r="AA363" t="s">
        <v>74</v>
      </c>
      <c r="AB363" t="s">
        <v>74</v>
      </c>
      <c r="AC363" t="s">
        <v>74</v>
      </c>
      <c r="AD363" t="s">
        <v>74</v>
      </c>
      <c r="AE363" t="s">
        <v>74</v>
      </c>
      <c r="AF363" t="s">
        <v>74</v>
      </c>
      <c r="AG363">
        <v>37</v>
      </c>
      <c r="AH363">
        <v>12</v>
      </c>
      <c r="AI363">
        <v>13</v>
      </c>
      <c r="AJ363">
        <v>0</v>
      </c>
      <c r="AK363">
        <v>14</v>
      </c>
      <c r="AL363" t="s">
        <v>1261</v>
      </c>
      <c r="AM363" t="s">
        <v>520</v>
      </c>
      <c r="AN363" t="s">
        <v>1262</v>
      </c>
      <c r="AO363" t="s">
        <v>2478</v>
      </c>
      <c r="AP363" t="s">
        <v>2479</v>
      </c>
      <c r="AQ363" t="s">
        <v>74</v>
      </c>
      <c r="AR363" t="s">
        <v>2480</v>
      </c>
      <c r="AS363" t="s">
        <v>2481</v>
      </c>
      <c r="AT363" t="s">
        <v>5841</v>
      </c>
      <c r="AU363">
        <v>2006</v>
      </c>
      <c r="AV363">
        <v>333</v>
      </c>
      <c r="AW363">
        <v>1</v>
      </c>
      <c r="AX363" t="s">
        <v>74</v>
      </c>
      <c r="AY363" t="s">
        <v>74</v>
      </c>
      <c r="AZ363" t="s">
        <v>74</v>
      </c>
      <c r="BA363" t="s">
        <v>74</v>
      </c>
      <c r="BB363">
        <v>129</v>
      </c>
      <c r="BC363">
        <v>139</v>
      </c>
      <c r="BD363" t="s">
        <v>74</v>
      </c>
      <c r="BE363" t="s">
        <v>5842</v>
      </c>
      <c r="BF363" t="str">
        <f>HYPERLINK("http://dx.doi.org/10.1016/j.jembe.2005.12.048","http://dx.doi.org/10.1016/j.jembe.2005.12.048")</f>
        <v>http://dx.doi.org/10.1016/j.jembe.2005.12.048</v>
      </c>
      <c r="BG363" t="s">
        <v>74</v>
      </c>
      <c r="BH363" t="s">
        <v>74</v>
      </c>
      <c r="BI363">
        <v>11</v>
      </c>
      <c r="BJ363" t="s">
        <v>2483</v>
      </c>
      <c r="BK363" t="s">
        <v>97</v>
      </c>
      <c r="BL363" t="s">
        <v>1288</v>
      </c>
      <c r="BM363" t="s">
        <v>5843</v>
      </c>
      <c r="BN363" t="s">
        <v>74</v>
      </c>
      <c r="BO363" t="s">
        <v>74</v>
      </c>
      <c r="BP363" t="s">
        <v>74</v>
      </c>
      <c r="BQ363" t="s">
        <v>74</v>
      </c>
      <c r="BR363" t="s">
        <v>100</v>
      </c>
      <c r="BS363" t="s">
        <v>5844</v>
      </c>
      <c r="BT363" t="str">
        <f>HYPERLINK("https%3A%2F%2Fwww.webofscience.com%2Fwos%2Fwoscc%2Ffull-record%2FWOS:000238328200011","View Full Record in Web of Science")</f>
        <v>View Full Record in Web of Science</v>
      </c>
    </row>
    <row r="364" spans="1:72" x14ac:dyDescent="0.15">
      <c r="A364" t="s">
        <v>72</v>
      </c>
      <c r="B364" t="s">
        <v>5845</v>
      </c>
      <c r="C364" t="s">
        <v>74</v>
      </c>
      <c r="D364" t="s">
        <v>74</v>
      </c>
      <c r="E364" t="s">
        <v>74</v>
      </c>
      <c r="F364" t="s">
        <v>5846</v>
      </c>
      <c r="G364" t="s">
        <v>74</v>
      </c>
      <c r="H364" t="s">
        <v>74</v>
      </c>
      <c r="I364" t="s">
        <v>5847</v>
      </c>
      <c r="J364" t="s">
        <v>5848</v>
      </c>
      <c r="K364" t="s">
        <v>74</v>
      </c>
      <c r="L364" t="s">
        <v>74</v>
      </c>
      <c r="M364" t="s">
        <v>78</v>
      </c>
      <c r="N364" t="s">
        <v>511</v>
      </c>
      <c r="O364" t="s">
        <v>74</v>
      </c>
      <c r="P364" t="s">
        <v>74</v>
      </c>
      <c r="Q364" t="s">
        <v>74</v>
      </c>
      <c r="R364" t="s">
        <v>74</v>
      </c>
      <c r="S364" t="s">
        <v>74</v>
      </c>
      <c r="T364" t="s">
        <v>5849</v>
      </c>
      <c r="U364" t="s">
        <v>5850</v>
      </c>
      <c r="V364" t="s">
        <v>5851</v>
      </c>
      <c r="W364" t="s">
        <v>5852</v>
      </c>
      <c r="X364" t="s">
        <v>5853</v>
      </c>
      <c r="Y364" t="s">
        <v>5854</v>
      </c>
      <c r="Z364" t="s">
        <v>5855</v>
      </c>
      <c r="AA364" t="s">
        <v>74</v>
      </c>
      <c r="AB364" t="s">
        <v>74</v>
      </c>
      <c r="AC364" t="s">
        <v>74</v>
      </c>
      <c r="AD364" t="s">
        <v>74</v>
      </c>
      <c r="AE364" t="s">
        <v>74</v>
      </c>
      <c r="AF364" t="s">
        <v>74</v>
      </c>
      <c r="AG364">
        <v>70</v>
      </c>
      <c r="AH364">
        <v>115</v>
      </c>
      <c r="AI364">
        <v>139</v>
      </c>
      <c r="AJ364">
        <v>11</v>
      </c>
      <c r="AK364">
        <v>126</v>
      </c>
      <c r="AL364" t="s">
        <v>2185</v>
      </c>
      <c r="AM364" t="s">
        <v>557</v>
      </c>
      <c r="AN364" t="s">
        <v>2165</v>
      </c>
      <c r="AO364" t="s">
        <v>5856</v>
      </c>
      <c r="AP364" t="s">
        <v>5857</v>
      </c>
      <c r="AQ364" t="s">
        <v>74</v>
      </c>
      <c r="AR364" t="s">
        <v>5858</v>
      </c>
      <c r="AS364" t="s">
        <v>5859</v>
      </c>
      <c r="AT364" t="s">
        <v>5860</v>
      </c>
      <c r="AU364">
        <v>2006</v>
      </c>
      <c r="AV364">
        <v>361</v>
      </c>
      <c r="AW364">
        <v>1469</v>
      </c>
      <c r="AX364" t="s">
        <v>74</v>
      </c>
      <c r="AY364" t="s">
        <v>74</v>
      </c>
      <c r="AZ364" t="s">
        <v>74</v>
      </c>
      <c r="BA364" t="s">
        <v>74</v>
      </c>
      <c r="BB364">
        <v>769</v>
      </c>
      <c r="BC364">
        <v>790</v>
      </c>
      <c r="BD364" t="s">
        <v>74</v>
      </c>
      <c r="BE364" t="s">
        <v>5861</v>
      </c>
      <c r="BF364" t="str">
        <f>HYPERLINK("http://dx.doi.org/10.1098/rstb.2005.1783","http://dx.doi.org/10.1098/rstb.2005.1783")</f>
        <v>http://dx.doi.org/10.1098/rstb.2005.1783</v>
      </c>
      <c r="BG364" t="s">
        <v>74</v>
      </c>
      <c r="BH364" t="s">
        <v>74</v>
      </c>
      <c r="BI364">
        <v>22</v>
      </c>
      <c r="BJ364" t="s">
        <v>5369</v>
      </c>
      <c r="BK364" t="s">
        <v>97</v>
      </c>
      <c r="BL364" t="s">
        <v>5370</v>
      </c>
      <c r="BM364" t="s">
        <v>5862</v>
      </c>
      <c r="BN364">
        <v>16627294</v>
      </c>
      <c r="BO364" t="s">
        <v>99</v>
      </c>
      <c r="BP364" t="s">
        <v>74</v>
      </c>
      <c r="BQ364" t="s">
        <v>74</v>
      </c>
      <c r="BR364" t="s">
        <v>100</v>
      </c>
      <c r="BS364" t="s">
        <v>5863</v>
      </c>
      <c r="BT364" t="str">
        <f>HYPERLINK("https%3A%2F%2Fwww.webofscience.com%2Fwos%2Fwoscc%2Ffull-record%2FWOS:000237780000004","View Full Record in Web of Science")</f>
        <v>View Full Record in Web of Science</v>
      </c>
    </row>
    <row r="365" spans="1:72" x14ac:dyDescent="0.15">
      <c r="A365" t="s">
        <v>72</v>
      </c>
      <c r="B365" t="s">
        <v>5864</v>
      </c>
      <c r="C365" t="s">
        <v>74</v>
      </c>
      <c r="D365" t="s">
        <v>74</v>
      </c>
      <c r="E365" t="s">
        <v>74</v>
      </c>
      <c r="F365" t="s">
        <v>5865</v>
      </c>
      <c r="G365" t="s">
        <v>74</v>
      </c>
      <c r="H365" t="s">
        <v>74</v>
      </c>
      <c r="I365" t="s">
        <v>5866</v>
      </c>
      <c r="J365" t="s">
        <v>2354</v>
      </c>
      <c r="K365" t="s">
        <v>74</v>
      </c>
      <c r="L365" t="s">
        <v>74</v>
      </c>
      <c r="M365" t="s">
        <v>78</v>
      </c>
      <c r="N365" t="s">
        <v>79</v>
      </c>
      <c r="O365" t="s">
        <v>74</v>
      </c>
      <c r="P365" t="s">
        <v>74</v>
      </c>
      <c r="Q365" t="s">
        <v>74</v>
      </c>
      <c r="R365" t="s">
        <v>74</v>
      </c>
      <c r="S365" t="s">
        <v>74</v>
      </c>
      <c r="T365" t="s">
        <v>74</v>
      </c>
      <c r="U365" t="s">
        <v>5867</v>
      </c>
      <c r="V365" t="s">
        <v>5868</v>
      </c>
      <c r="W365" t="s">
        <v>5869</v>
      </c>
      <c r="X365" t="s">
        <v>74</v>
      </c>
      <c r="Y365" t="s">
        <v>5870</v>
      </c>
      <c r="Z365" t="s">
        <v>5871</v>
      </c>
      <c r="AA365" t="s">
        <v>5872</v>
      </c>
      <c r="AB365" t="s">
        <v>5873</v>
      </c>
      <c r="AC365" t="s">
        <v>74</v>
      </c>
      <c r="AD365" t="s">
        <v>74</v>
      </c>
      <c r="AE365" t="s">
        <v>74</v>
      </c>
      <c r="AF365" t="s">
        <v>74</v>
      </c>
      <c r="AG365">
        <v>23</v>
      </c>
      <c r="AH365">
        <v>24</v>
      </c>
      <c r="AI365">
        <v>26</v>
      </c>
      <c r="AJ365">
        <v>1</v>
      </c>
      <c r="AK365">
        <v>12</v>
      </c>
      <c r="AL365" t="s">
        <v>1757</v>
      </c>
      <c r="AM365" t="s">
        <v>88</v>
      </c>
      <c r="AN365" t="s">
        <v>1758</v>
      </c>
      <c r="AO365" t="s">
        <v>2363</v>
      </c>
      <c r="AP365" t="s">
        <v>2364</v>
      </c>
      <c r="AQ365" t="s">
        <v>74</v>
      </c>
      <c r="AR365" t="s">
        <v>2365</v>
      </c>
      <c r="AS365" t="s">
        <v>2366</v>
      </c>
      <c r="AT365" t="s">
        <v>5874</v>
      </c>
      <c r="AU365">
        <v>2006</v>
      </c>
      <c r="AV365">
        <v>111</v>
      </c>
      <c r="AW365" t="s">
        <v>5875</v>
      </c>
      <c r="AX365" t="s">
        <v>74</v>
      </c>
      <c r="AY365" t="s">
        <v>74</v>
      </c>
      <c r="AZ365" t="s">
        <v>74</v>
      </c>
      <c r="BA365" t="s">
        <v>74</v>
      </c>
      <c r="BB365" t="s">
        <v>74</v>
      </c>
      <c r="BC365" t="s">
        <v>74</v>
      </c>
      <c r="BD365" t="s">
        <v>5876</v>
      </c>
      <c r="BE365" t="s">
        <v>5877</v>
      </c>
      <c r="BF365" t="str">
        <f>HYPERLINK("http://dx.doi.org/10.1029/2005JC002887","http://dx.doi.org/10.1029/2005JC002887")</f>
        <v>http://dx.doi.org/10.1029/2005JC002887</v>
      </c>
      <c r="BG365" t="s">
        <v>74</v>
      </c>
      <c r="BH365" t="s">
        <v>74</v>
      </c>
      <c r="BI365">
        <v>6</v>
      </c>
      <c r="BJ365" t="s">
        <v>1069</v>
      </c>
      <c r="BK365" t="s">
        <v>97</v>
      </c>
      <c r="BL365" t="s">
        <v>1069</v>
      </c>
      <c r="BM365" t="s">
        <v>5878</v>
      </c>
      <c r="BN365" t="s">
        <v>74</v>
      </c>
      <c r="BO365" t="s">
        <v>1808</v>
      </c>
      <c r="BP365" t="s">
        <v>74</v>
      </c>
      <c r="BQ365" t="s">
        <v>74</v>
      </c>
      <c r="BR365" t="s">
        <v>100</v>
      </c>
      <c r="BS365" t="s">
        <v>5879</v>
      </c>
      <c r="BT365" t="str">
        <f>HYPERLINK("https%3A%2F%2Fwww.webofscience.com%2Fwos%2Fwoscc%2Ffull-record%2FWOS:000238043300001","View Full Record in Web of Science")</f>
        <v>View Full Record in Web of Science</v>
      </c>
    </row>
    <row r="366" spans="1:72" x14ac:dyDescent="0.15">
      <c r="A366" t="s">
        <v>72</v>
      </c>
      <c r="B366" t="s">
        <v>5880</v>
      </c>
      <c r="C366" t="s">
        <v>74</v>
      </c>
      <c r="D366" t="s">
        <v>74</v>
      </c>
      <c r="E366" t="s">
        <v>74</v>
      </c>
      <c r="F366" t="s">
        <v>5881</v>
      </c>
      <c r="G366" t="s">
        <v>74</v>
      </c>
      <c r="H366" t="s">
        <v>74</v>
      </c>
      <c r="I366" t="s">
        <v>5882</v>
      </c>
      <c r="J366" t="s">
        <v>1862</v>
      </c>
      <c r="K366" t="s">
        <v>74</v>
      </c>
      <c r="L366" t="s">
        <v>74</v>
      </c>
      <c r="M366" t="s">
        <v>78</v>
      </c>
      <c r="N366" t="s">
        <v>79</v>
      </c>
      <c r="O366" t="s">
        <v>74</v>
      </c>
      <c r="P366" t="s">
        <v>74</v>
      </c>
      <c r="Q366" t="s">
        <v>74</v>
      </c>
      <c r="R366" t="s">
        <v>74</v>
      </c>
      <c r="S366" t="s">
        <v>74</v>
      </c>
      <c r="T366" t="s">
        <v>74</v>
      </c>
      <c r="U366" t="s">
        <v>5883</v>
      </c>
      <c r="V366" t="s">
        <v>5884</v>
      </c>
      <c r="W366" t="s">
        <v>5885</v>
      </c>
      <c r="X366" t="s">
        <v>5886</v>
      </c>
      <c r="Y366" t="s">
        <v>5887</v>
      </c>
      <c r="Z366" t="s">
        <v>5888</v>
      </c>
      <c r="AA366" t="s">
        <v>5889</v>
      </c>
      <c r="AB366" t="s">
        <v>5890</v>
      </c>
      <c r="AC366" t="s">
        <v>2995</v>
      </c>
      <c r="AD366" t="s">
        <v>1328</v>
      </c>
      <c r="AE366" t="s">
        <v>74</v>
      </c>
      <c r="AF366" t="s">
        <v>74</v>
      </c>
      <c r="AG366">
        <v>64</v>
      </c>
      <c r="AH366">
        <v>178</v>
      </c>
      <c r="AI366">
        <v>189</v>
      </c>
      <c r="AJ366">
        <v>0</v>
      </c>
      <c r="AK366">
        <v>8</v>
      </c>
      <c r="AL366" t="s">
        <v>1757</v>
      </c>
      <c r="AM366" t="s">
        <v>88</v>
      </c>
      <c r="AN366" t="s">
        <v>1758</v>
      </c>
      <c r="AO366" t="s">
        <v>1871</v>
      </c>
      <c r="AP366" t="s">
        <v>1872</v>
      </c>
      <c r="AQ366" t="s">
        <v>74</v>
      </c>
      <c r="AR366" t="s">
        <v>1873</v>
      </c>
      <c r="AS366" t="s">
        <v>1874</v>
      </c>
      <c r="AT366" t="s">
        <v>5874</v>
      </c>
      <c r="AU366">
        <v>2006</v>
      </c>
      <c r="AV366">
        <v>111</v>
      </c>
      <c r="AW366" t="s">
        <v>5891</v>
      </c>
      <c r="AX366" t="s">
        <v>74</v>
      </c>
      <c r="AY366" t="s">
        <v>74</v>
      </c>
      <c r="AZ366" t="s">
        <v>74</v>
      </c>
      <c r="BA366" t="s">
        <v>74</v>
      </c>
      <c r="BB366" t="s">
        <v>74</v>
      </c>
      <c r="BC366" t="s">
        <v>74</v>
      </c>
      <c r="BD366" t="s">
        <v>5892</v>
      </c>
      <c r="BE366" t="s">
        <v>5893</v>
      </c>
      <c r="BF366" t="str">
        <f>HYPERLINK("http://dx.doi.org/10.1029/2005JA011516","http://dx.doi.org/10.1029/2005JA011516")</f>
        <v>http://dx.doi.org/10.1029/2005JA011516</v>
      </c>
      <c r="BG366" t="s">
        <v>74</v>
      </c>
      <c r="BH366" t="s">
        <v>74</v>
      </c>
      <c r="BI366">
        <v>13</v>
      </c>
      <c r="BJ366" t="s">
        <v>1637</v>
      </c>
      <c r="BK366" t="s">
        <v>97</v>
      </c>
      <c r="BL366" t="s">
        <v>1637</v>
      </c>
      <c r="BM366" t="s">
        <v>5894</v>
      </c>
      <c r="BN366" t="s">
        <v>74</v>
      </c>
      <c r="BO366" t="s">
        <v>5895</v>
      </c>
      <c r="BP366" t="s">
        <v>74</v>
      </c>
      <c r="BQ366" t="s">
        <v>74</v>
      </c>
      <c r="BR366" t="s">
        <v>100</v>
      </c>
      <c r="BS366" t="s">
        <v>5896</v>
      </c>
      <c r="BT366" t="str">
        <f>HYPERLINK("https%3A%2F%2Fwww.webofscience.com%2Fwos%2Fwoscc%2Ffull-record%2FWOS:000238046100003","View Full Record in Web of Science")</f>
        <v>View Full Record in Web of Science</v>
      </c>
    </row>
    <row r="367" spans="1:72" x14ac:dyDescent="0.15">
      <c r="A367" t="s">
        <v>72</v>
      </c>
      <c r="B367" t="s">
        <v>5897</v>
      </c>
      <c r="C367" t="s">
        <v>74</v>
      </c>
      <c r="D367" t="s">
        <v>74</v>
      </c>
      <c r="E367" t="s">
        <v>74</v>
      </c>
      <c r="F367" t="s">
        <v>5897</v>
      </c>
      <c r="G367" t="s">
        <v>74</v>
      </c>
      <c r="H367" t="s">
        <v>74</v>
      </c>
      <c r="I367" t="s">
        <v>5898</v>
      </c>
      <c r="J367" t="s">
        <v>1748</v>
      </c>
      <c r="K367" t="s">
        <v>74</v>
      </c>
      <c r="L367" t="s">
        <v>74</v>
      </c>
      <c r="M367" t="s">
        <v>78</v>
      </c>
      <c r="N367" t="s">
        <v>79</v>
      </c>
      <c r="O367" t="s">
        <v>74</v>
      </c>
      <c r="P367" t="s">
        <v>74</v>
      </c>
      <c r="Q367" t="s">
        <v>74</v>
      </c>
      <c r="R367" t="s">
        <v>74</v>
      </c>
      <c r="S367" t="s">
        <v>74</v>
      </c>
      <c r="T367" t="s">
        <v>74</v>
      </c>
      <c r="U367" t="s">
        <v>5899</v>
      </c>
      <c r="V367" t="s">
        <v>5900</v>
      </c>
      <c r="W367" t="s">
        <v>5901</v>
      </c>
      <c r="X367" t="s">
        <v>5902</v>
      </c>
      <c r="Y367" t="s">
        <v>5903</v>
      </c>
      <c r="Z367" t="s">
        <v>5904</v>
      </c>
      <c r="AA367" t="s">
        <v>5905</v>
      </c>
      <c r="AB367" t="s">
        <v>5906</v>
      </c>
      <c r="AC367" t="s">
        <v>5907</v>
      </c>
      <c r="AD367" t="s">
        <v>2873</v>
      </c>
      <c r="AE367" t="s">
        <v>74</v>
      </c>
      <c r="AF367" t="s">
        <v>74</v>
      </c>
      <c r="AG367">
        <v>23</v>
      </c>
      <c r="AH367">
        <v>107</v>
      </c>
      <c r="AI367">
        <v>124</v>
      </c>
      <c r="AJ367">
        <v>4</v>
      </c>
      <c r="AK367">
        <v>56</v>
      </c>
      <c r="AL367" t="s">
        <v>1757</v>
      </c>
      <c r="AM367" t="s">
        <v>88</v>
      </c>
      <c r="AN367" t="s">
        <v>1758</v>
      </c>
      <c r="AO367" t="s">
        <v>1759</v>
      </c>
      <c r="AP367" t="s">
        <v>74</v>
      </c>
      <c r="AQ367" t="s">
        <v>74</v>
      </c>
      <c r="AR367" t="s">
        <v>1761</v>
      </c>
      <c r="AS367" t="s">
        <v>1762</v>
      </c>
      <c r="AT367" t="s">
        <v>5908</v>
      </c>
      <c r="AU367">
        <v>2006</v>
      </c>
      <c r="AV367">
        <v>33</v>
      </c>
      <c r="AW367">
        <v>10</v>
      </c>
      <c r="AX367" t="s">
        <v>74</v>
      </c>
      <c r="AY367" t="s">
        <v>74</v>
      </c>
      <c r="AZ367" t="s">
        <v>74</v>
      </c>
      <c r="BA367" t="s">
        <v>74</v>
      </c>
      <c r="BB367" t="s">
        <v>74</v>
      </c>
      <c r="BC367" t="s">
        <v>74</v>
      </c>
      <c r="BD367" t="s">
        <v>5909</v>
      </c>
      <c r="BE367" t="s">
        <v>5910</v>
      </c>
      <c r="BF367" t="str">
        <f>HYPERLINK("http://dx.doi.org/10.1029/2005GL025044","http://dx.doi.org/10.1029/2005GL025044")</f>
        <v>http://dx.doi.org/10.1029/2005GL025044</v>
      </c>
      <c r="BG367" t="s">
        <v>74</v>
      </c>
      <c r="BH367" t="s">
        <v>74</v>
      </c>
      <c r="BI367">
        <v>4</v>
      </c>
      <c r="BJ367" t="s">
        <v>527</v>
      </c>
      <c r="BK367" t="s">
        <v>97</v>
      </c>
      <c r="BL367" t="s">
        <v>528</v>
      </c>
      <c r="BM367" t="s">
        <v>5911</v>
      </c>
      <c r="BN367" t="s">
        <v>74</v>
      </c>
      <c r="BO367" t="s">
        <v>74</v>
      </c>
      <c r="BP367" t="s">
        <v>74</v>
      </c>
      <c r="BQ367" t="s">
        <v>74</v>
      </c>
      <c r="BR367" t="s">
        <v>100</v>
      </c>
      <c r="BS367" t="s">
        <v>5912</v>
      </c>
      <c r="BT367" t="str">
        <f>HYPERLINK("https%3A%2F%2Fwww.webofscience.com%2Fwos%2Fwoscc%2Ffull-record%2FWOS:000238038500001","View Full Record in Web of Science")</f>
        <v>View Full Record in Web of Science</v>
      </c>
    </row>
    <row r="368" spans="1:72" x14ac:dyDescent="0.15">
      <c r="A368" t="s">
        <v>72</v>
      </c>
      <c r="B368" t="s">
        <v>5913</v>
      </c>
      <c r="C368" t="s">
        <v>74</v>
      </c>
      <c r="D368" t="s">
        <v>74</v>
      </c>
      <c r="E368" t="s">
        <v>74</v>
      </c>
      <c r="F368" t="s">
        <v>5914</v>
      </c>
      <c r="G368" t="s">
        <v>74</v>
      </c>
      <c r="H368" t="s">
        <v>74</v>
      </c>
      <c r="I368" t="s">
        <v>5915</v>
      </c>
      <c r="J368" t="s">
        <v>1862</v>
      </c>
      <c r="K368" t="s">
        <v>74</v>
      </c>
      <c r="L368" t="s">
        <v>74</v>
      </c>
      <c r="M368" t="s">
        <v>78</v>
      </c>
      <c r="N368" t="s">
        <v>79</v>
      </c>
      <c r="O368" t="s">
        <v>74</v>
      </c>
      <c r="P368" t="s">
        <v>74</v>
      </c>
      <c r="Q368" t="s">
        <v>74</v>
      </c>
      <c r="R368" t="s">
        <v>74</v>
      </c>
      <c r="S368" t="s">
        <v>74</v>
      </c>
      <c r="T368" t="s">
        <v>74</v>
      </c>
      <c r="U368" t="s">
        <v>5916</v>
      </c>
      <c r="V368" t="s">
        <v>5917</v>
      </c>
      <c r="W368" t="s">
        <v>5918</v>
      </c>
      <c r="X368" t="s">
        <v>5919</v>
      </c>
      <c r="Y368" t="s">
        <v>5920</v>
      </c>
      <c r="Z368" t="s">
        <v>5921</v>
      </c>
      <c r="AA368" t="s">
        <v>74</v>
      </c>
      <c r="AB368" t="s">
        <v>5922</v>
      </c>
      <c r="AC368" t="s">
        <v>5923</v>
      </c>
      <c r="AD368" t="s">
        <v>1328</v>
      </c>
      <c r="AE368" t="s">
        <v>74</v>
      </c>
      <c r="AF368" t="s">
        <v>74</v>
      </c>
      <c r="AG368">
        <v>45</v>
      </c>
      <c r="AH368">
        <v>5</v>
      </c>
      <c r="AI368">
        <v>5</v>
      </c>
      <c r="AJ368">
        <v>0</v>
      </c>
      <c r="AK368">
        <v>0</v>
      </c>
      <c r="AL368" t="s">
        <v>1757</v>
      </c>
      <c r="AM368" t="s">
        <v>88</v>
      </c>
      <c r="AN368" t="s">
        <v>1758</v>
      </c>
      <c r="AO368" t="s">
        <v>1871</v>
      </c>
      <c r="AP368" t="s">
        <v>1872</v>
      </c>
      <c r="AQ368" t="s">
        <v>74</v>
      </c>
      <c r="AR368" t="s">
        <v>1873</v>
      </c>
      <c r="AS368" t="s">
        <v>1874</v>
      </c>
      <c r="AT368" t="s">
        <v>5908</v>
      </c>
      <c r="AU368">
        <v>2006</v>
      </c>
      <c r="AV368">
        <v>111</v>
      </c>
      <c r="AW368" t="s">
        <v>5891</v>
      </c>
      <c r="AX368" t="s">
        <v>74</v>
      </c>
      <c r="AY368" t="s">
        <v>74</v>
      </c>
      <c r="AZ368" t="s">
        <v>74</v>
      </c>
      <c r="BA368" t="s">
        <v>74</v>
      </c>
      <c r="BB368" t="s">
        <v>74</v>
      </c>
      <c r="BC368" t="s">
        <v>74</v>
      </c>
      <c r="BD368" t="s">
        <v>5924</v>
      </c>
      <c r="BE368" t="s">
        <v>5925</v>
      </c>
      <c r="BF368" t="str">
        <f>HYPERLINK("http://dx.doi.org/10.1029/2005JA011356","http://dx.doi.org/10.1029/2005JA011356")</f>
        <v>http://dx.doi.org/10.1029/2005JA011356</v>
      </c>
      <c r="BG368" t="s">
        <v>74</v>
      </c>
      <c r="BH368" t="s">
        <v>74</v>
      </c>
      <c r="BI368">
        <v>11</v>
      </c>
      <c r="BJ368" t="s">
        <v>1637</v>
      </c>
      <c r="BK368" t="s">
        <v>97</v>
      </c>
      <c r="BL368" t="s">
        <v>1637</v>
      </c>
      <c r="BM368" t="s">
        <v>5926</v>
      </c>
      <c r="BN368" t="s">
        <v>74</v>
      </c>
      <c r="BO368" t="s">
        <v>74</v>
      </c>
      <c r="BP368" t="s">
        <v>74</v>
      </c>
      <c r="BQ368" t="s">
        <v>74</v>
      </c>
      <c r="BR368" t="s">
        <v>100</v>
      </c>
      <c r="BS368" t="s">
        <v>5927</v>
      </c>
      <c r="BT368" t="str">
        <f>HYPERLINK("https%3A%2F%2Fwww.webofscience.com%2Fwos%2Fwoscc%2Ffull-record%2FWOS:000238045900004","View Full Record in Web of Science")</f>
        <v>View Full Record in Web of Science</v>
      </c>
    </row>
    <row r="369" spans="1:72" x14ac:dyDescent="0.15">
      <c r="A369" t="s">
        <v>72</v>
      </c>
      <c r="B369" t="s">
        <v>5928</v>
      </c>
      <c r="C369" t="s">
        <v>74</v>
      </c>
      <c r="D369" t="s">
        <v>74</v>
      </c>
      <c r="E369" t="s">
        <v>74</v>
      </c>
      <c r="F369" t="s">
        <v>5929</v>
      </c>
      <c r="G369" t="s">
        <v>74</v>
      </c>
      <c r="H369" t="s">
        <v>74</v>
      </c>
      <c r="I369" t="s">
        <v>5930</v>
      </c>
      <c r="J369" t="s">
        <v>3922</v>
      </c>
      <c r="K369" t="s">
        <v>74</v>
      </c>
      <c r="L369" t="s">
        <v>74</v>
      </c>
      <c r="M369" t="s">
        <v>78</v>
      </c>
      <c r="N369" t="s">
        <v>79</v>
      </c>
      <c r="O369" t="s">
        <v>74</v>
      </c>
      <c r="P369" t="s">
        <v>74</v>
      </c>
      <c r="Q369" t="s">
        <v>74</v>
      </c>
      <c r="R369" t="s">
        <v>74</v>
      </c>
      <c r="S369" t="s">
        <v>74</v>
      </c>
      <c r="T369" t="s">
        <v>74</v>
      </c>
      <c r="U369" t="s">
        <v>5931</v>
      </c>
      <c r="V369" t="s">
        <v>5932</v>
      </c>
      <c r="W369" t="s">
        <v>5933</v>
      </c>
      <c r="X369" t="s">
        <v>5934</v>
      </c>
      <c r="Y369" t="s">
        <v>5935</v>
      </c>
      <c r="Z369" t="s">
        <v>5936</v>
      </c>
      <c r="AA369" t="s">
        <v>74</v>
      </c>
      <c r="AB369" t="s">
        <v>74</v>
      </c>
      <c r="AC369" t="s">
        <v>74</v>
      </c>
      <c r="AD369" t="s">
        <v>74</v>
      </c>
      <c r="AE369" t="s">
        <v>74</v>
      </c>
      <c r="AF369" t="s">
        <v>74</v>
      </c>
      <c r="AG369">
        <v>24</v>
      </c>
      <c r="AH369">
        <v>24</v>
      </c>
      <c r="AI369">
        <v>30</v>
      </c>
      <c r="AJ369">
        <v>0</v>
      </c>
      <c r="AK369">
        <v>3</v>
      </c>
      <c r="AL369" t="s">
        <v>914</v>
      </c>
      <c r="AM369" t="s">
        <v>915</v>
      </c>
      <c r="AN369" t="s">
        <v>916</v>
      </c>
      <c r="AO369" t="s">
        <v>3928</v>
      </c>
      <c r="AP369" t="s">
        <v>74</v>
      </c>
      <c r="AQ369" t="s">
        <v>74</v>
      </c>
      <c r="AR369" t="s">
        <v>3929</v>
      </c>
      <c r="AS369" t="s">
        <v>3930</v>
      </c>
      <c r="AT369" t="s">
        <v>5937</v>
      </c>
      <c r="AU369">
        <v>2006</v>
      </c>
      <c r="AV369">
        <v>90</v>
      </c>
      <c r="AW369">
        <v>10</v>
      </c>
      <c r="AX369" t="s">
        <v>74</v>
      </c>
      <c r="AY369" t="s">
        <v>74</v>
      </c>
      <c r="AZ369" t="s">
        <v>74</v>
      </c>
      <c r="BA369" t="s">
        <v>74</v>
      </c>
      <c r="BB369">
        <v>1388</v>
      </c>
      <c r="BC369">
        <v>1392</v>
      </c>
      <c r="BD369" t="s">
        <v>74</v>
      </c>
      <c r="BE369" t="s">
        <v>74</v>
      </c>
      <c r="BF369" t="s">
        <v>74</v>
      </c>
      <c r="BG369" t="s">
        <v>74</v>
      </c>
      <c r="BH369" t="s">
        <v>74</v>
      </c>
      <c r="BI369">
        <v>5</v>
      </c>
      <c r="BJ369" t="s">
        <v>1841</v>
      </c>
      <c r="BK369" t="s">
        <v>97</v>
      </c>
      <c r="BL369" t="s">
        <v>1842</v>
      </c>
      <c r="BM369" t="s">
        <v>5938</v>
      </c>
      <c r="BN369" t="s">
        <v>74</v>
      </c>
      <c r="BO369" t="s">
        <v>74</v>
      </c>
      <c r="BP369" t="s">
        <v>74</v>
      </c>
      <c r="BQ369" t="s">
        <v>74</v>
      </c>
      <c r="BR369" t="s">
        <v>100</v>
      </c>
      <c r="BS369" t="s">
        <v>5939</v>
      </c>
      <c r="BT369" t="str">
        <f>HYPERLINK("https%3A%2F%2Fwww.webofscience.com%2Fwos%2Fwoscc%2Ffull-record%2FWOS:000239381500019","View Full Record in Web of Science")</f>
        <v>View Full Record in Web of Science</v>
      </c>
    </row>
    <row r="370" spans="1:72" x14ac:dyDescent="0.15">
      <c r="A370" t="s">
        <v>72</v>
      </c>
      <c r="B370" t="s">
        <v>5940</v>
      </c>
      <c r="C370" t="s">
        <v>74</v>
      </c>
      <c r="D370" t="s">
        <v>74</v>
      </c>
      <c r="E370" t="s">
        <v>74</v>
      </c>
      <c r="F370" t="s">
        <v>5940</v>
      </c>
      <c r="G370" t="s">
        <v>74</v>
      </c>
      <c r="H370" t="s">
        <v>74</v>
      </c>
      <c r="I370" t="s">
        <v>5941</v>
      </c>
      <c r="J370" t="s">
        <v>1748</v>
      </c>
      <c r="K370" t="s">
        <v>74</v>
      </c>
      <c r="L370" t="s">
        <v>74</v>
      </c>
      <c r="M370" t="s">
        <v>78</v>
      </c>
      <c r="N370" t="s">
        <v>79</v>
      </c>
      <c r="O370" t="s">
        <v>74</v>
      </c>
      <c r="P370" t="s">
        <v>74</v>
      </c>
      <c r="Q370" t="s">
        <v>74</v>
      </c>
      <c r="R370" t="s">
        <v>74</v>
      </c>
      <c r="S370" t="s">
        <v>74</v>
      </c>
      <c r="T370" t="s">
        <v>74</v>
      </c>
      <c r="U370" t="s">
        <v>5942</v>
      </c>
      <c r="V370" t="s">
        <v>5943</v>
      </c>
      <c r="W370" t="s">
        <v>5944</v>
      </c>
      <c r="X370" t="s">
        <v>5945</v>
      </c>
      <c r="Y370" t="s">
        <v>5946</v>
      </c>
      <c r="Z370" t="s">
        <v>5947</v>
      </c>
      <c r="AA370" t="s">
        <v>74</v>
      </c>
      <c r="AB370" t="s">
        <v>5948</v>
      </c>
      <c r="AC370" t="s">
        <v>74</v>
      </c>
      <c r="AD370" t="s">
        <v>74</v>
      </c>
      <c r="AE370" t="s">
        <v>74</v>
      </c>
      <c r="AF370" t="s">
        <v>74</v>
      </c>
      <c r="AG370">
        <v>17</v>
      </c>
      <c r="AH370">
        <v>22</v>
      </c>
      <c r="AI370">
        <v>29</v>
      </c>
      <c r="AJ370">
        <v>0</v>
      </c>
      <c r="AK370">
        <v>1</v>
      </c>
      <c r="AL370" t="s">
        <v>1757</v>
      </c>
      <c r="AM370" t="s">
        <v>88</v>
      </c>
      <c r="AN370" t="s">
        <v>1758</v>
      </c>
      <c r="AO370" t="s">
        <v>1759</v>
      </c>
      <c r="AP370" t="s">
        <v>74</v>
      </c>
      <c r="AQ370" t="s">
        <v>74</v>
      </c>
      <c r="AR370" t="s">
        <v>1761</v>
      </c>
      <c r="AS370" t="s">
        <v>1762</v>
      </c>
      <c r="AT370" t="s">
        <v>5937</v>
      </c>
      <c r="AU370">
        <v>2006</v>
      </c>
      <c r="AV370">
        <v>33</v>
      </c>
      <c r="AW370">
        <v>10</v>
      </c>
      <c r="AX370" t="s">
        <v>74</v>
      </c>
      <c r="AY370" t="s">
        <v>74</v>
      </c>
      <c r="AZ370" t="s">
        <v>74</v>
      </c>
      <c r="BA370" t="s">
        <v>74</v>
      </c>
      <c r="BB370" t="s">
        <v>74</v>
      </c>
      <c r="BC370" t="s">
        <v>74</v>
      </c>
      <c r="BD370" t="s">
        <v>5949</v>
      </c>
      <c r="BE370" t="s">
        <v>5950</v>
      </c>
      <c r="BF370" t="str">
        <f>HYPERLINK("http://dx.doi.org/10.1029/2006GL025809","http://dx.doi.org/10.1029/2006GL025809")</f>
        <v>http://dx.doi.org/10.1029/2006GL025809</v>
      </c>
      <c r="BG370" t="s">
        <v>74</v>
      </c>
      <c r="BH370" t="s">
        <v>74</v>
      </c>
      <c r="BI370">
        <v>3</v>
      </c>
      <c r="BJ370" t="s">
        <v>527</v>
      </c>
      <c r="BK370" t="s">
        <v>97</v>
      </c>
      <c r="BL370" t="s">
        <v>528</v>
      </c>
      <c r="BM370" t="s">
        <v>5951</v>
      </c>
      <c r="BN370" t="s">
        <v>74</v>
      </c>
      <c r="BO370" t="s">
        <v>74</v>
      </c>
      <c r="BP370" t="s">
        <v>74</v>
      </c>
      <c r="BQ370" t="s">
        <v>74</v>
      </c>
      <c r="BR370" t="s">
        <v>100</v>
      </c>
      <c r="BS370" t="s">
        <v>5952</v>
      </c>
      <c r="BT370" t="str">
        <f>HYPERLINK("https%3A%2F%2Fwww.webofscience.com%2Fwos%2Fwoscc%2Ffull-record%2FWOS:000238038300003","View Full Record in Web of Science")</f>
        <v>View Full Record in Web of Science</v>
      </c>
    </row>
    <row r="371" spans="1:72" x14ac:dyDescent="0.15">
      <c r="A371" t="s">
        <v>72</v>
      </c>
      <c r="B371" t="s">
        <v>5953</v>
      </c>
      <c r="C371" t="s">
        <v>74</v>
      </c>
      <c r="D371" t="s">
        <v>74</v>
      </c>
      <c r="E371" t="s">
        <v>74</v>
      </c>
      <c r="F371" t="s">
        <v>5954</v>
      </c>
      <c r="G371" t="s">
        <v>74</v>
      </c>
      <c r="H371" t="s">
        <v>74</v>
      </c>
      <c r="I371" t="s">
        <v>5955</v>
      </c>
      <c r="J371" t="s">
        <v>3877</v>
      </c>
      <c r="K371" t="s">
        <v>74</v>
      </c>
      <c r="L371" t="s">
        <v>74</v>
      </c>
      <c r="M371" t="s">
        <v>78</v>
      </c>
      <c r="N371" t="s">
        <v>79</v>
      </c>
      <c r="O371" t="s">
        <v>74</v>
      </c>
      <c r="P371" t="s">
        <v>74</v>
      </c>
      <c r="Q371" t="s">
        <v>74</v>
      </c>
      <c r="R371" t="s">
        <v>74</v>
      </c>
      <c r="S371" t="s">
        <v>74</v>
      </c>
      <c r="T371" t="s">
        <v>74</v>
      </c>
      <c r="U371" t="s">
        <v>5956</v>
      </c>
      <c r="V371" t="s">
        <v>5957</v>
      </c>
      <c r="W371" t="s">
        <v>5958</v>
      </c>
      <c r="X371" t="s">
        <v>5959</v>
      </c>
      <c r="Y371" t="s">
        <v>5960</v>
      </c>
      <c r="Z371" t="s">
        <v>5961</v>
      </c>
      <c r="AA371" t="s">
        <v>5962</v>
      </c>
      <c r="AB371" t="s">
        <v>5963</v>
      </c>
      <c r="AC371" t="s">
        <v>74</v>
      </c>
      <c r="AD371" t="s">
        <v>74</v>
      </c>
      <c r="AE371" t="s">
        <v>74</v>
      </c>
      <c r="AF371" t="s">
        <v>74</v>
      </c>
      <c r="AG371">
        <v>73</v>
      </c>
      <c r="AH371">
        <v>50</v>
      </c>
      <c r="AI371">
        <v>58</v>
      </c>
      <c r="AJ371">
        <v>0</v>
      </c>
      <c r="AK371">
        <v>18</v>
      </c>
      <c r="AL371" t="s">
        <v>1757</v>
      </c>
      <c r="AM371" t="s">
        <v>88</v>
      </c>
      <c r="AN371" t="s">
        <v>1758</v>
      </c>
      <c r="AO371" t="s">
        <v>3886</v>
      </c>
      <c r="AP371" t="s">
        <v>3887</v>
      </c>
      <c r="AQ371" t="s">
        <v>74</v>
      </c>
      <c r="AR371" t="s">
        <v>3888</v>
      </c>
      <c r="AS371" t="s">
        <v>3889</v>
      </c>
      <c r="AT371" t="s">
        <v>5937</v>
      </c>
      <c r="AU371">
        <v>2006</v>
      </c>
      <c r="AV371">
        <v>20</v>
      </c>
      <c r="AW371">
        <v>2</v>
      </c>
      <c r="AX371" t="s">
        <v>74</v>
      </c>
      <c r="AY371" t="s">
        <v>74</v>
      </c>
      <c r="AZ371" t="s">
        <v>74</v>
      </c>
      <c r="BA371" t="s">
        <v>74</v>
      </c>
      <c r="BB371" t="s">
        <v>74</v>
      </c>
      <c r="BC371" t="s">
        <v>74</v>
      </c>
      <c r="BD371" t="s">
        <v>5964</v>
      </c>
      <c r="BE371" t="s">
        <v>5965</v>
      </c>
      <c r="BF371" t="str">
        <f>HYPERLINK("http://dx.doi.org/10.1029/2005GB002448","http://dx.doi.org/10.1029/2005GB002448")</f>
        <v>http://dx.doi.org/10.1029/2005GB002448</v>
      </c>
      <c r="BG371" t="s">
        <v>74</v>
      </c>
      <c r="BH371" t="s">
        <v>74</v>
      </c>
      <c r="BI371">
        <v>17</v>
      </c>
      <c r="BJ371" t="s">
        <v>3892</v>
      </c>
      <c r="BK371" t="s">
        <v>97</v>
      </c>
      <c r="BL371" t="s">
        <v>3893</v>
      </c>
      <c r="BM371" t="s">
        <v>5966</v>
      </c>
      <c r="BN371" t="s">
        <v>74</v>
      </c>
      <c r="BO371" t="s">
        <v>460</v>
      </c>
      <c r="BP371" t="s">
        <v>74</v>
      </c>
      <c r="BQ371" t="s">
        <v>74</v>
      </c>
      <c r="BR371" t="s">
        <v>100</v>
      </c>
      <c r="BS371" t="s">
        <v>5967</v>
      </c>
      <c r="BT371" t="str">
        <f>HYPERLINK("https%3A%2F%2Fwww.webofscience.com%2Fwos%2Fwoscc%2Ffull-record%2FWOS:000238040700001","View Full Record in Web of Science")</f>
        <v>View Full Record in Web of Science</v>
      </c>
    </row>
    <row r="372" spans="1:72" x14ac:dyDescent="0.15">
      <c r="A372" t="s">
        <v>72</v>
      </c>
      <c r="B372" t="s">
        <v>5968</v>
      </c>
      <c r="C372" t="s">
        <v>74</v>
      </c>
      <c r="D372" t="s">
        <v>74</v>
      </c>
      <c r="E372" t="s">
        <v>74</v>
      </c>
      <c r="F372" t="s">
        <v>5969</v>
      </c>
      <c r="G372" t="s">
        <v>74</v>
      </c>
      <c r="H372" t="s">
        <v>74</v>
      </c>
      <c r="I372" t="s">
        <v>5970</v>
      </c>
      <c r="J372" t="s">
        <v>1862</v>
      </c>
      <c r="K372" t="s">
        <v>74</v>
      </c>
      <c r="L372" t="s">
        <v>74</v>
      </c>
      <c r="M372" t="s">
        <v>78</v>
      </c>
      <c r="N372" t="s">
        <v>79</v>
      </c>
      <c r="O372" t="s">
        <v>74</v>
      </c>
      <c r="P372" t="s">
        <v>74</v>
      </c>
      <c r="Q372" t="s">
        <v>74</v>
      </c>
      <c r="R372" t="s">
        <v>74</v>
      </c>
      <c r="S372" t="s">
        <v>74</v>
      </c>
      <c r="T372" t="s">
        <v>74</v>
      </c>
      <c r="U372" t="s">
        <v>5971</v>
      </c>
      <c r="V372" t="s">
        <v>5972</v>
      </c>
      <c r="W372" t="s">
        <v>5973</v>
      </c>
      <c r="X372" t="s">
        <v>5974</v>
      </c>
      <c r="Y372" t="s">
        <v>5975</v>
      </c>
      <c r="Z372" t="s">
        <v>5976</v>
      </c>
      <c r="AA372" t="s">
        <v>74</v>
      </c>
      <c r="AB372" t="s">
        <v>74</v>
      </c>
      <c r="AC372" t="s">
        <v>74</v>
      </c>
      <c r="AD372" t="s">
        <v>74</v>
      </c>
      <c r="AE372" t="s">
        <v>74</v>
      </c>
      <c r="AF372" t="s">
        <v>74</v>
      </c>
      <c r="AG372">
        <v>20</v>
      </c>
      <c r="AH372">
        <v>120</v>
      </c>
      <c r="AI372">
        <v>126</v>
      </c>
      <c r="AJ372">
        <v>0</v>
      </c>
      <c r="AK372">
        <v>4</v>
      </c>
      <c r="AL372" t="s">
        <v>1757</v>
      </c>
      <c r="AM372" t="s">
        <v>88</v>
      </c>
      <c r="AN372" t="s">
        <v>1758</v>
      </c>
      <c r="AO372" t="s">
        <v>1871</v>
      </c>
      <c r="AP372" t="s">
        <v>1872</v>
      </c>
      <c r="AQ372" t="s">
        <v>74</v>
      </c>
      <c r="AR372" t="s">
        <v>1873</v>
      </c>
      <c r="AS372" t="s">
        <v>1874</v>
      </c>
      <c r="AT372" t="s">
        <v>5977</v>
      </c>
      <c r="AU372">
        <v>2006</v>
      </c>
      <c r="AV372">
        <v>111</v>
      </c>
      <c r="AW372" t="s">
        <v>5891</v>
      </c>
      <c r="AX372" t="s">
        <v>74</v>
      </c>
      <c r="AY372" t="s">
        <v>74</v>
      </c>
      <c r="AZ372" t="s">
        <v>74</v>
      </c>
      <c r="BA372" t="s">
        <v>74</v>
      </c>
      <c r="BB372" t="s">
        <v>74</v>
      </c>
      <c r="BC372" t="s">
        <v>74</v>
      </c>
      <c r="BD372" t="s">
        <v>5978</v>
      </c>
      <c r="BE372" t="s">
        <v>5979</v>
      </c>
      <c r="BF372" t="str">
        <f>HYPERLINK("http://dx.doi.org/10.1029/2005JA011402","http://dx.doi.org/10.1029/2005JA011402")</f>
        <v>http://dx.doi.org/10.1029/2005JA011402</v>
      </c>
      <c r="BG372" t="s">
        <v>74</v>
      </c>
      <c r="BH372" t="s">
        <v>74</v>
      </c>
      <c r="BI372">
        <v>10</v>
      </c>
      <c r="BJ372" t="s">
        <v>1637</v>
      </c>
      <c r="BK372" t="s">
        <v>97</v>
      </c>
      <c r="BL372" t="s">
        <v>1637</v>
      </c>
      <c r="BM372" t="s">
        <v>5980</v>
      </c>
      <c r="BN372" t="s">
        <v>74</v>
      </c>
      <c r="BO372" t="s">
        <v>460</v>
      </c>
      <c r="BP372" t="s">
        <v>74</v>
      </c>
      <c r="BQ372" t="s">
        <v>74</v>
      </c>
      <c r="BR372" t="s">
        <v>100</v>
      </c>
      <c r="BS372" t="s">
        <v>5981</v>
      </c>
      <c r="BT372" t="str">
        <f>HYPERLINK("https%3A%2F%2Fwww.webofscience.com%2Fwos%2Fwoscc%2Ffull-record%2FWOS:000238045500001","View Full Record in Web of Science")</f>
        <v>View Full Record in Web of Science</v>
      </c>
    </row>
    <row r="373" spans="1:72" x14ac:dyDescent="0.15">
      <c r="A373" t="s">
        <v>72</v>
      </c>
      <c r="B373" t="s">
        <v>5982</v>
      </c>
      <c r="C373" t="s">
        <v>74</v>
      </c>
      <c r="D373" t="s">
        <v>74</v>
      </c>
      <c r="E373" t="s">
        <v>74</v>
      </c>
      <c r="F373" t="s">
        <v>5983</v>
      </c>
      <c r="G373" t="s">
        <v>74</v>
      </c>
      <c r="H373" t="s">
        <v>74</v>
      </c>
      <c r="I373" t="s">
        <v>5984</v>
      </c>
      <c r="J373" t="s">
        <v>3899</v>
      </c>
      <c r="K373" t="s">
        <v>74</v>
      </c>
      <c r="L373" t="s">
        <v>74</v>
      </c>
      <c r="M373" t="s">
        <v>78</v>
      </c>
      <c r="N373" t="s">
        <v>79</v>
      </c>
      <c r="O373" t="s">
        <v>74</v>
      </c>
      <c r="P373" t="s">
        <v>74</v>
      </c>
      <c r="Q373" t="s">
        <v>74</v>
      </c>
      <c r="R373" t="s">
        <v>74</v>
      </c>
      <c r="S373" t="s">
        <v>74</v>
      </c>
      <c r="T373" t="s">
        <v>5985</v>
      </c>
      <c r="U373" t="s">
        <v>5986</v>
      </c>
      <c r="V373" t="s">
        <v>5987</v>
      </c>
      <c r="W373" t="s">
        <v>5988</v>
      </c>
      <c r="X373" t="s">
        <v>5989</v>
      </c>
      <c r="Y373" t="s">
        <v>5990</v>
      </c>
      <c r="Z373" t="s">
        <v>5991</v>
      </c>
      <c r="AA373" t="s">
        <v>3907</v>
      </c>
      <c r="AB373" t="s">
        <v>5992</v>
      </c>
      <c r="AC373" t="s">
        <v>3909</v>
      </c>
      <c r="AD373" t="s">
        <v>2873</v>
      </c>
      <c r="AE373" t="s">
        <v>74</v>
      </c>
      <c r="AF373" t="s">
        <v>74</v>
      </c>
      <c r="AG373">
        <v>30</v>
      </c>
      <c r="AH373">
        <v>2</v>
      </c>
      <c r="AI373">
        <v>5</v>
      </c>
      <c r="AJ373">
        <v>0</v>
      </c>
      <c r="AK373">
        <v>5</v>
      </c>
      <c r="AL373" t="s">
        <v>519</v>
      </c>
      <c r="AM373" t="s">
        <v>520</v>
      </c>
      <c r="AN373" t="s">
        <v>521</v>
      </c>
      <c r="AO373" t="s">
        <v>3910</v>
      </c>
      <c r="AP373" t="s">
        <v>3911</v>
      </c>
      <c r="AQ373" t="s">
        <v>74</v>
      </c>
      <c r="AR373" t="s">
        <v>3912</v>
      </c>
      <c r="AS373" t="s">
        <v>3913</v>
      </c>
      <c r="AT373" t="s">
        <v>5977</v>
      </c>
      <c r="AU373">
        <v>2006</v>
      </c>
      <c r="AV373">
        <v>59</v>
      </c>
      <c r="AW373" t="s">
        <v>1243</v>
      </c>
      <c r="AX373" t="s">
        <v>74</v>
      </c>
      <c r="AY373" t="s">
        <v>74</v>
      </c>
      <c r="AZ373" t="s">
        <v>74</v>
      </c>
      <c r="BA373" t="s">
        <v>74</v>
      </c>
      <c r="BB373">
        <v>184</v>
      </c>
      <c r="BC373">
        <v>196</v>
      </c>
      <c r="BD373" t="s">
        <v>74</v>
      </c>
      <c r="BE373" t="s">
        <v>5993</v>
      </c>
      <c r="BF373" t="str">
        <f>HYPERLINK("http://dx.doi.org/10.1016/j.marmicro.2006.02.009","http://dx.doi.org/10.1016/j.marmicro.2006.02.009")</f>
        <v>http://dx.doi.org/10.1016/j.marmicro.2006.02.009</v>
      </c>
      <c r="BG373" t="s">
        <v>74</v>
      </c>
      <c r="BH373" t="s">
        <v>74</v>
      </c>
      <c r="BI373">
        <v>13</v>
      </c>
      <c r="BJ373" t="s">
        <v>3916</v>
      </c>
      <c r="BK373" t="s">
        <v>97</v>
      </c>
      <c r="BL373" t="s">
        <v>3916</v>
      </c>
      <c r="BM373" t="s">
        <v>5994</v>
      </c>
      <c r="BN373" t="s">
        <v>74</v>
      </c>
      <c r="BO373" t="s">
        <v>74</v>
      </c>
      <c r="BP373" t="s">
        <v>74</v>
      </c>
      <c r="BQ373" t="s">
        <v>74</v>
      </c>
      <c r="BR373" t="s">
        <v>100</v>
      </c>
      <c r="BS373" t="s">
        <v>5995</v>
      </c>
      <c r="BT373" t="str">
        <f>HYPERLINK("https%3A%2F%2Fwww.webofscience.com%2Fwos%2Fwoscc%2Ffull-record%2FWOS:000237815800004","View Full Record in Web of Science")</f>
        <v>View Full Record in Web of Science</v>
      </c>
    </row>
    <row r="374" spans="1:72" x14ac:dyDescent="0.15">
      <c r="A374" t="s">
        <v>72</v>
      </c>
      <c r="B374" t="s">
        <v>5996</v>
      </c>
      <c r="C374" t="s">
        <v>74</v>
      </c>
      <c r="D374" t="s">
        <v>74</v>
      </c>
      <c r="E374" t="s">
        <v>74</v>
      </c>
      <c r="F374" t="s">
        <v>5997</v>
      </c>
      <c r="G374" t="s">
        <v>74</v>
      </c>
      <c r="H374" t="s">
        <v>74</v>
      </c>
      <c r="I374" t="s">
        <v>5998</v>
      </c>
      <c r="J374" t="s">
        <v>2354</v>
      </c>
      <c r="K374" t="s">
        <v>74</v>
      </c>
      <c r="L374" t="s">
        <v>74</v>
      </c>
      <c r="M374" t="s">
        <v>78</v>
      </c>
      <c r="N374" t="s">
        <v>79</v>
      </c>
      <c r="O374" t="s">
        <v>74</v>
      </c>
      <c r="P374" t="s">
        <v>74</v>
      </c>
      <c r="Q374" t="s">
        <v>74</v>
      </c>
      <c r="R374" t="s">
        <v>74</v>
      </c>
      <c r="S374" t="s">
        <v>74</v>
      </c>
      <c r="T374" t="s">
        <v>74</v>
      </c>
      <c r="U374" t="s">
        <v>5999</v>
      </c>
      <c r="V374" t="s">
        <v>6000</v>
      </c>
      <c r="W374" t="s">
        <v>6001</v>
      </c>
      <c r="X374" t="s">
        <v>6002</v>
      </c>
      <c r="Y374" t="s">
        <v>6003</v>
      </c>
      <c r="Z374" t="s">
        <v>6004</v>
      </c>
      <c r="AA374" t="s">
        <v>6005</v>
      </c>
      <c r="AB374" t="s">
        <v>6006</v>
      </c>
      <c r="AC374" t="s">
        <v>74</v>
      </c>
      <c r="AD374" t="s">
        <v>74</v>
      </c>
      <c r="AE374" t="s">
        <v>74</v>
      </c>
      <c r="AF374" t="s">
        <v>74</v>
      </c>
      <c r="AG374">
        <v>35</v>
      </c>
      <c r="AH374">
        <v>9</v>
      </c>
      <c r="AI374">
        <v>9</v>
      </c>
      <c r="AJ374">
        <v>0</v>
      </c>
      <c r="AK374">
        <v>3</v>
      </c>
      <c r="AL374" t="s">
        <v>1757</v>
      </c>
      <c r="AM374" t="s">
        <v>88</v>
      </c>
      <c r="AN374" t="s">
        <v>1758</v>
      </c>
      <c r="AO374" t="s">
        <v>2363</v>
      </c>
      <c r="AP374" t="s">
        <v>2364</v>
      </c>
      <c r="AQ374" t="s">
        <v>74</v>
      </c>
      <c r="AR374" t="s">
        <v>2365</v>
      </c>
      <c r="AS374" t="s">
        <v>2366</v>
      </c>
      <c r="AT374" t="s">
        <v>6007</v>
      </c>
      <c r="AU374">
        <v>2006</v>
      </c>
      <c r="AV374">
        <v>111</v>
      </c>
      <c r="AW374" t="s">
        <v>5875</v>
      </c>
      <c r="AX374" t="s">
        <v>74</v>
      </c>
      <c r="AY374" t="s">
        <v>74</v>
      </c>
      <c r="AZ374" t="s">
        <v>74</v>
      </c>
      <c r="BA374" t="s">
        <v>74</v>
      </c>
      <c r="BB374" t="s">
        <v>74</v>
      </c>
      <c r="BC374" t="s">
        <v>74</v>
      </c>
      <c r="BD374" t="s">
        <v>6008</v>
      </c>
      <c r="BE374" t="s">
        <v>6009</v>
      </c>
      <c r="BF374" t="str">
        <f>HYPERLINK("http://dx.doi.org/10.1029/2005JC003332","http://dx.doi.org/10.1029/2005JC003332")</f>
        <v>http://dx.doi.org/10.1029/2005JC003332</v>
      </c>
      <c r="BG374" t="s">
        <v>74</v>
      </c>
      <c r="BH374" t="s">
        <v>74</v>
      </c>
      <c r="BI374">
        <v>8</v>
      </c>
      <c r="BJ374" t="s">
        <v>1069</v>
      </c>
      <c r="BK374" t="s">
        <v>97</v>
      </c>
      <c r="BL374" t="s">
        <v>1069</v>
      </c>
      <c r="BM374" t="s">
        <v>6010</v>
      </c>
      <c r="BN374" t="s">
        <v>74</v>
      </c>
      <c r="BO374" t="s">
        <v>460</v>
      </c>
      <c r="BP374" t="s">
        <v>74</v>
      </c>
      <c r="BQ374" t="s">
        <v>74</v>
      </c>
      <c r="BR374" t="s">
        <v>100</v>
      </c>
      <c r="BS374" t="s">
        <v>6011</v>
      </c>
      <c r="BT374" t="str">
        <f>HYPERLINK("https%3A%2F%2Fwww.webofscience.com%2Fwos%2Fwoscc%2Ffull-record%2FWOS:000238008500005","View Full Record in Web of Science")</f>
        <v>View Full Record in Web of Science</v>
      </c>
    </row>
    <row r="375" spans="1:72" x14ac:dyDescent="0.15">
      <c r="A375" t="s">
        <v>72</v>
      </c>
      <c r="B375" t="s">
        <v>6012</v>
      </c>
      <c r="C375" t="s">
        <v>74</v>
      </c>
      <c r="D375" t="s">
        <v>74</v>
      </c>
      <c r="E375" t="s">
        <v>74</v>
      </c>
      <c r="F375" t="s">
        <v>6013</v>
      </c>
      <c r="G375" t="s">
        <v>74</v>
      </c>
      <c r="H375" t="s">
        <v>74</v>
      </c>
      <c r="I375" t="s">
        <v>6014</v>
      </c>
      <c r="J375" t="s">
        <v>6015</v>
      </c>
      <c r="K375" t="s">
        <v>74</v>
      </c>
      <c r="L375" t="s">
        <v>74</v>
      </c>
      <c r="M375" t="s">
        <v>78</v>
      </c>
      <c r="N375" t="s">
        <v>79</v>
      </c>
      <c r="O375" t="s">
        <v>74</v>
      </c>
      <c r="P375" t="s">
        <v>74</v>
      </c>
      <c r="Q375" t="s">
        <v>74</v>
      </c>
      <c r="R375" t="s">
        <v>74</v>
      </c>
      <c r="S375" t="s">
        <v>74</v>
      </c>
      <c r="T375" t="s">
        <v>6016</v>
      </c>
      <c r="U375" t="s">
        <v>6017</v>
      </c>
      <c r="V375" t="s">
        <v>6018</v>
      </c>
      <c r="W375" t="s">
        <v>6019</v>
      </c>
      <c r="X375" t="s">
        <v>6020</v>
      </c>
      <c r="Y375" t="s">
        <v>6021</v>
      </c>
      <c r="Z375" t="s">
        <v>6022</v>
      </c>
      <c r="AA375" t="s">
        <v>74</v>
      </c>
      <c r="AB375" t="s">
        <v>74</v>
      </c>
      <c r="AC375" t="s">
        <v>74</v>
      </c>
      <c r="AD375" t="s">
        <v>74</v>
      </c>
      <c r="AE375" t="s">
        <v>74</v>
      </c>
      <c r="AF375" t="s">
        <v>74</v>
      </c>
      <c r="AG375">
        <v>45</v>
      </c>
      <c r="AH375">
        <v>47</v>
      </c>
      <c r="AI375">
        <v>50</v>
      </c>
      <c r="AJ375">
        <v>0</v>
      </c>
      <c r="AK375">
        <v>32</v>
      </c>
      <c r="AL375" t="s">
        <v>6023</v>
      </c>
      <c r="AM375" t="s">
        <v>557</v>
      </c>
      <c r="AN375" t="s">
        <v>5182</v>
      </c>
      <c r="AO375" t="s">
        <v>6024</v>
      </c>
      <c r="AP375" t="s">
        <v>6025</v>
      </c>
      <c r="AQ375" t="s">
        <v>74</v>
      </c>
      <c r="AR375" t="s">
        <v>6026</v>
      </c>
      <c r="AS375" t="s">
        <v>6027</v>
      </c>
      <c r="AT375" t="s">
        <v>6028</v>
      </c>
      <c r="AU375">
        <v>2006</v>
      </c>
      <c r="AV375">
        <v>358</v>
      </c>
      <c r="AW375">
        <v>5</v>
      </c>
      <c r="AX375" t="s">
        <v>74</v>
      </c>
      <c r="AY375" t="s">
        <v>74</v>
      </c>
      <c r="AZ375" t="s">
        <v>74</v>
      </c>
      <c r="BA375" t="s">
        <v>74</v>
      </c>
      <c r="BB375">
        <v>1296</v>
      </c>
      <c r="BC375">
        <v>1304</v>
      </c>
      <c r="BD375" t="s">
        <v>74</v>
      </c>
      <c r="BE375" t="s">
        <v>6029</v>
      </c>
      <c r="BF375" t="str">
        <f>HYPERLINK("http://dx.doi.org/10.1016/j.jmb.2006.03.004","http://dx.doi.org/10.1016/j.jmb.2006.03.004")</f>
        <v>http://dx.doi.org/10.1016/j.jmb.2006.03.004</v>
      </c>
      <c r="BG375" t="s">
        <v>74</v>
      </c>
      <c r="BH375" t="s">
        <v>74</v>
      </c>
      <c r="BI375">
        <v>9</v>
      </c>
      <c r="BJ375" t="s">
        <v>6030</v>
      </c>
      <c r="BK375" t="s">
        <v>97</v>
      </c>
      <c r="BL375" t="s">
        <v>6030</v>
      </c>
      <c r="BM375" t="s">
        <v>6031</v>
      </c>
      <c r="BN375">
        <v>16580683</v>
      </c>
      <c r="BO375" t="s">
        <v>74</v>
      </c>
      <c r="BP375" t="s">
        <v>74</v>
      </c>
      <c r="BQ375" t="s">
        <v>74</v>
      </c>
      <c r="BR375" t="s">
        <v>100</v>
      </c>
      <c r="BS375" t="s">
        <v>6032</v>
      </c>
      <c r="BT375" t="str">
        <f>HYPERLINK("https%3A%2F%2Fwww.webofscience.com%2Fwos%2Fwoscc%2Ffull-record%2FWOS:000237689600010","View Full Record in Web of Science")</f>
        <v>View Full Record in Web of Science</v>
      </c>
    </row>
    <row r="376" spans="1:72" x14ac:dyDescent="0.15">
      <c r="A376" t="s">
        <v>72</v>
      </c>
      <c r="B376" t="s">
        <v>6033</v>
      </c>
      <c r="C376" t="s">
        <v>74</v>
      </c>
      <c r="D376" t="s">
        <v>74</v>
      </c>
      <c r="E376" t="s">
        <v>74</v>
      </c>
      <c r="F376" t="s">
        <v>6034</v>
      </c>
      <c r="G376" t="s">
        <v>74</v>
      </c>
      <c r="H376" t="s">
        <v>74</v>
      </c>
      <c r="I376" t="s">
        <v>6035</v>
      </c>
      <c r="J376" t="s">
        <v>2354</v>
      </c>
      <c r="K376" t="s">
        <v>74</v>
      </c>
      <c r="L376" t="s">
        <v>74</v>
      </c>
      <c r="M376" t="s">
        <v>78</v>
      </c>
      <c r="N376" t="s">
        <v>79</v>
      </c>
      <c r="O376" t="s">
        <v>74</v>
      </c>
      <c r="P376" t="s">
        <v>74</v>
      </c>
      <c r="Q376" t="s">
        <v>74</v>
      </c>
      <c r="R376" t="s">
        <v>74</v>
      </c>
      <c r="S376" t="s">
        <v>74</v>
      </c>
      <c r="T376" t="s">
        <v>74</v>
      </c>
      <c r="U376" t="s">
        <v>6036</v>
      </c>
      <c r="V376" t="s">
        <v>6037</v>
      </c>
      <c r="W376" t="s">
        <v>6038</v>
      </c>
      <c r="X376" t="s">
        <v>6039</v>
      </c>
      <c r="Y376" t="s">
        <v>6040</v>
      </c>
      <c r="Z376" t="s">
        <v>6041</v>
      </c>
      <c r="AA376" t="s">
        <v>6042</v>
      </c>
      <c r="AB376" t="s">
        <v>74</v>
      </c>
      <c r="AC376" t="s">
        <v>74</v>
      </c>
      <c r="AD376" t="s">
        <v>74</v>
      </c>
      <c r="AE376" t="s">
        <v>74</v>
      </c>
      <c r="AF376" t="s">
        <v>74</v>
      </c>
      <c r="AG376">
        <v>26</v>
      </c>
      <c r="AH376">
        <v>38</v>
      </c>
      <c r="AI376">
        <v>41</v>
      </c>
      <c r="AJ376">
        <v>0</v>
      </c>
      <c r="AK376">
        <v>10</v>
      </c>
      <c r="AL376" t="s">
        <v>1757</v>
      </c>
      <c r="AM376" t="s">
        <v>88</v>
      </c>
      <c r="AN376" t="s">
        <v>1758</v>
      </c>
      <c r="AO376" t="s">
        <v>2363</v>
      </c>
      <c r="AP376" t="s">
        <v>2364</v>
      </c>
      <c r="AQ376" t="s">
        <v>74</v>
      </c>
      <c r="AR376" t="s">
        <v>2365</v>
      </c>
      <c r="AS376" t="s">
        <v>2366</v>
      </c>
      <c r="AT376" t="s">
        <v>6043</v>
      </c>
      <c r="AU376">
        <v>2006</v>
      </c>
      <c r="AV376">
        <v>111</v>
      </c>
      <c r="AW376" t="s">
        <v>5875</v>
      </c>
      <c r="AX376" t="s">
        <v>74</v>
      </c>
      <c r="AY376" t="s">
        <v>74</v>
      </c>
      <c r="AZ376" t="s">
        <v>74</v>
      </c>
      <c r="BA376" t="s">
        <v>74</v>
      </c>
      <c r="BB376" t="s">
        <v>74</v>
      </c>
      <c r="BC376" t="s">
        <v>74</v>
      </c>
      <c r="BD376" t="s">
        <v>6044</v>
      </c>
      <c r="BE376" t="s">
        <v>6045</v>
      </c>
      <c r="BF376" t="str">
        <f>HYPERLINK("http://dx.doi.org/10.1029/2005JC003076","http://dx.doi.org/10.1029/2005JC003076")</f>
        <v>http://dx.doi.org/10.1029/2005JC003076</v>
      </c>
      <c r="BG376" t="s">
        <v>74</v>
      </c>
      <c r="BH376" t="s">
        <v>74</v>
      </c>
      <c r="BI376">
        <v>9</v>
      </c>
      <c r="BJ376" t="s">
        <v>1069</v>
      </c>
      <c r="BK376" t="s">
        <v>97</v>
      </c>
      <c r="BL376" t="s">
        <v>1069</v>
      </c>
      <c r="BM376" t="s">
        <v>6046</v>
      </c>
      <c r="BN376" t="s">
        <v>74</v>
      </c>
      <c r="BO376" t="s">
        <v>460</v>
      </c>
      <c r="BP376" t="s">
        <v>74</v>
      </c>
      <c r="BQ376" t="s">
        <v>74</v>
      </c>
      <c r="BR376" t="s">
        <v>100</v>
      </c>
      <c r="BS376" t="s">
        <v>6047</v>
      </c>
      <c r="BT376" t="str">
        <f>HYPERLINK("https%3A%2F%2Fwww.webofscience.com%2Fwos%2Fwoscc%2Ffull-record%2FWOS:000238008000001","View Full Record in Web of Science")</f>
        <v>View Full Record in Web of Science</v>
      </c>
    </row>
    <row r="377" spans="1:72" x14ac:dyDescent="0.15">
      <c r="A377" t="s">
        <v>72</v>
      </c>
      <c r="B377" t="s">
        <v>6048</v>
      </c>
      <c r="C377" t="s">
        <v>74</v>
      </c>
      <c r="D377" t="s">
        <v>74</v>
      </c>
      <c r="E377" t="s">
        <v>74</v>
      </c>
      <c r="F377" t="s">
        <v>6049</v>
      </c>
      <c r="G377" t="s">
        <v>74</v>
      </c>
      <c r="H377" t="s">
        <v>74</v>
      </c>
      <c r="I377" t="s">
        <v>6050</v>
      </c>
      <c r="J377" t="s">
        <v>1862</v>
      </c>
      <c r="K377" t="s">
        <v>74</v>
      </c>
      <c r="L377" t="s">
        <v>74</v>
      </c>
      <c r="M377" t="s">
        <v>78</v>
      </c>
      <c r="N377" t="s">
        <v>79</v>
      </c>
      <c r="O377" t="s">
        <v>74</v>
      </c>
      <c r="P377" t="s">
        <v>74</v>
      </c>
      <c r="Q377" t="s">
        <v>74</v>
      </c>
      <c r="R377" t="s">
        <v>74</v>
      </c>
      <c r="S377" t="s">
        <v>74</v>
      </c>
      <c r="T377" t="s">
        <v>74</v>
      </c>
      <c r="U377" t="s">
        <v>6051</v>
      </c>
      <c r="V377" t="s">
        <v>6052</v>
      </c>
      <c r="W377" t="s">
        <v>6053</v>
      </c>
      <c r="X377" t="s">
        <v>6054</v>
      </c>
      <c r="Y377" t="s">
        <v>6055</v>
      </c>
      <c r="Z377" t="s">
        <v>6056</v>
      </c>
      <c r="AA377" t="s">
        <v>6057</v>
      </c>
      <c r="AB377" t="s">
        <v>6058</v>
      </c>
      <c r="AC377" t="s">
        <v>74</v>
      </c>
      <c r="AD377" t="s">
        <v>74</v>
      </c>
      <c r="AE377" t="s">
        <v>74</v>
      </c>
      <c r="AF377" t="s">
        <v>74</v>
      </c>
      <c r="AG377">
        <v>32</v>
      </c>
      <c r="AH377">
        <v>20</v>
      </c>
      <c r="AI377">
        <v>21</v>
      </c>
      <c r="AJ377">
        <v>2</v>
      </c>
      <c r="AK377">
        <v>14</v>
      </c>
      <c r="AL377" t="s">
        <v>1757</v>
      </c>
      <c r="AM377" t="s">
        <v>88</v>
      </c>
      <c r="AN377" t="s">
        <v>1758</v>
      </c>
      <c r="AO377" t="s">
        <v>1871</v>
      </c>
      <c r="AP377" t="s">
        <v>1872</v>
      </c>
      <c r="AQ377" t="s">
        <v>74</v>
      </c>
      <c r="AR377" t="s">
        <v>1873</v>
      </c>
      <c r="AS377" t="s">
        <v>1874</v>
      </c>
      <c r="AT377" t="s">
        <v>6043</v>
      </c>
      <c r="AU377">
        <v>2006</v>
      </c>
      <c r="AV377">
        <v>111</v>
      </c>
      <c r="AW377" t="s">
        <v>5891</v>
      </c>
      <c r="AX377" t="s">
        <v>74</v>
      </c>
      <c r="AY377" t="s">
        <v>74</v>
      </c>
      <c r="AZ377" t="s">
        <v>74</v>
      </c>
      <c r="BA377" t="s">
        <v>74</v>
      </c>
      <c r="BB377" t="s">
        <v>74</v>
      </c>
      <c r="BC377" t="s">
        <v>74</v>
      </c>
      <c r="BD377" t="s">
        <v>6059</v>
      </c>
      <c r="BE377" t="s">
        <v>6060</v>
      </c>
      <c r="BF377" t="str">
        <f>HYPERLINK("http://dx.doi.org/10.1029/2005JA011443","http://dx.doi.org/10.1029/2005JA011443")</f>
        <v>http://dx.doi.org/10.1029/2005JA011443</v>
      </c>
      <c r="BG377" t="s">
        <v>74</v>
      </c>
      <c r="BH377" t="s">
        <v>74</v>
      </c>
      <c r="BI377">
        <v>9</v>
      </c>
      <c r="BJ377" t="s">
        <v>1637</v>
      </c>
      <c r="BK377" t="s">
        <v>97</v>
      </c>
      <c r="BL377" t="s">
        <v>1637</v>
      </c>
      <c r="BM377" t="s">
        <v>6061</v>
      </c>
      <c r="BN377" t="s">
        <v>74</v>
      </c>
      <c r="BO377" t="s">
        <v>460</v>
      </c>
      <c r="BP377" t="s">
        <v>74</v>
      </c>
      <c r="BQ377" t="s">
        <v>74</v>
      </c>
      <c r="BR377" t="s">
        <v>100</v>
      </c>
      <c r="BS377" t="s">
        <v>6062</v>
      </c>
      <c r="BT377" t="str">
        <f>HYPERLINK("https%3A%2F%2Fwww.webofscience.com%2Fwos%2Fwoscc%2Ffull-record%2FWOS:000238013300001","View Full Record in Web of Science")</f>
        <v>View Full Record in Web of Science</v>
      </c>
    </row>
    <row r="378" spans="1:72" x14ac:dyDescent="0.15">
      <c r="A378" t="s">
        <v>72</v>
      </c>
      <c r="B378" t="s">
        <v>6063</v>
      </c>
      <c r="C378" t="s">
        <v>74</v>
      </c>
      <c r="D378" t="s">
        <v>74</v>
      </c>
      <c r="E378" t="s">
        <v>74</v>
      </c>
      <c r="F378" t="s">
        <v>6064</v>
      </c>
      <c r="G378" t="s">
        <v>74</v>
      </c>
      <c r="H378" t="s">
        <v>74</v>
      </c>
      <c r="I378" t="s">
        <v>6065</v>
      </c>
      <c r="J378" t="s">
        <v>1943</v>
      </c>
      <c r="K378" t="s">
        <v>74</v>
      </c>
      <c r="L378" t="s">
        <v>74</v>
      </c>
      <c r="M378" t="s">
        <v>78</v>
      </c>
      <c r="N378" t="s">
        <v>79</v>
      </c>
      <c r="O378" t="s">
        <v>74</v>
      </c>
      <c r="P378" t="s">
        <v>74</v>
      </c>
      <c r="Q378" t="s">
        <v>74</v>
      </c>
      <c r="R378" t="s">
        <v>74</v>
      </c>
      <c r="S378" t="s">
        <v>74</v>
      </c>
      <c r="T378" t="s">
        <v>74</v>
      </c>
      <c r="U378" t="s">
        <v>6066</v>
      </c>
      <c r="V378" t="s">
        <v>6067</v>
      </c>
      <c r="W378" t="s">
        <v>6068</v>
      </c>
      <c r="X378" t="s">
        <v>6069</v>
      </c>
      <c r="Y378" t="s">
        <v>6070</v>
      </c>
      <c r="Z378" t="s">
        <v>6071</v>
      </c>
      <c r="AA378" t="s">
        <v>74</v>
      </c>
      <c r="AB378" t="s">
        <v>74</v>
      </c>
      <c r="AC378" t="s">
        <v>74</v>
      </c>
      <c r="AD378" t="s">
        <v>74</v>
      </c>
      <c r="AE378" t="s">
        <v>74</v>
      </c>
      <c r="AF378" t="s">
        <v>74</v>
      </c>
      <c r="AG378">
        <v>56</v>
      </c>
      <c r="AH378">
        <v>15</v>
      </c>
      <c r="AI378">
        <v>17</v>
      </c>
      <c r="AJ378">
        <v>0</v>
      </c>
      <c r="AK378">
        <v>9</v>
      </c>
      <c r="AL378" t="s">
        <v>1757</v>
      </c>
      <c r="AM378" t="s">
        <v>88</v>
      </c>
      <c r="AN378" t="s">
        <v>1758</v>
      </c>
      <c r="AO378" t="s">
        <v>1950</v>
      </c>
      <c r="AP378" t="s">
        <v>1951</v>
      </c>
      <c r="AQ378" t="s">
        <v>74</v>
      </c>
      <c r="AR378" t="s">
        <v>1943</v>
      </c>
      <c r="AS378" t="s">
        <v>1952</v>
      </c>
      <c r="AT378" t="s">
        <v>6043</v>
      </c>
      <c r="AU378">
        <v>2006</v>
      </c>
      <c r="AV378">
        <v>21</v>
      </c>
      <c r="AW378">
        <v>2</v>
      </c>
      <c r="AX378" t="s">
        <v>74</v>
      </c>
      <c r="AY378" t="s">
        <v>74</v>
      </c>
      <c r="AZ378" t="s">
        <v>74</v>
      </c>
      <c r="BA378" t="s">
        <v>74</v>
      </c>
      <c r="BB378" t="s">
        <v>74</v>
      </c>
      <c r="BC378" t="s">
        <v>74</v>
      </c>
      <c r="BD378" t="s">
        <v>6072</v>
      </c>
      <c r="BE378" t="s">
        <v>6073</v>
      </c>
      <c r="BF378" t="str">
        <f>HYPERLINK("http://dx.doi.org/10.1029/2005PA001226","http://dx.doi.org/10.1029/2005PA001226")</f>
        <v>http://dx.doi.org/10.1029/2005PA001226</v>
      </c>
      <c r="BG378" t="s">
        <v>74</v>
      </c>
      <c r="BH378" t="s">
        <v>74</v>
      </c>
      <c r="BI378">
        <v>17</v>
      </c>
      <c r="BJ378" t="s">
        <v>1955</v>
      </c>
      <c r="BK378" t="s">
        <v>97</v>
      </c>
      <c r="BL378" t="s">
        <v>1956</v>
      </c>
      <c r="BM378" t="s">
        <v>6074</v>
      </c>
      <c r="BN378" t="s">
        <v>74</v>
      </c>
      <c r="BO378" t="s">
        <v>460</v>
      </c>
      <c r="BP378" t="s">
        <v>74</v>
      </c>
      <c r="BQ378" t="s">
        <v>74</v>
      </c>
      <c r="BR378" t="s">
        <v>100</v>
      </c>
      <c r="BS378" t="s">
        <v>6075</v>
      </c>
      <c r="BT378" t="str">
        <f>HYPERLINK("https%3A%2F%2Fwww.webofscience.com%2Fwos%2Fwoscc%2Ffull-record%2FWOS:000238014800001","View Full Record in Web of Science")</f>
        <v>View Full Record in Web of Science</v>
      </c>
    </row>
    <row r="379" spans="1:72" x14ac:dyDescent="0.15">
      <c r="A379" t="s">
        <v>72</v>
      </c>
      <c r="B379" t="s">
        <v>6076</v>
      </c>
      <c r="C379" t="s">
        <v>74</v>
      </c>
      <c r="D379" t="s">
        <v>74</v>
      </c>
      <c r="E379" t="s">
        <v>74</v>
      </c>
      <c r="F379" t="s">
        <v>6077</v>
      </c>
      <c r="G379" t="s">
        <v>74</v>
      </c>
      <c r="H379" t="s">
        <v>74</v>
      </c>
      <c r="I379" t="s">
        <v>6078</v>
      </c>
      <c r="J379" t="s">
        <v>2354</v>
      </c>
      <c r="K379" t="s">
        <v>74</v>
      </c>
      <c r="L379" t="s">
        <v>74</v>
      </c>
      <c r="M379" t="s">
        <v>78</v>
      </c>
      <c r="N379" t="s">
        <v>79</v>
      </c>
      <c r="O379" t="s">
        <v>74</v>
      </c>
      <c r="P379" t="s">
        <v>74</v>
      </c>
      <c r="Q379" t="s">
        <v>74</v>
      </c>
      <c r="R379" t="s">
        <v>74</v>
      </c>
      <c r="S379" t="s">
        <v>74</v>
      </c>
      <c r="T379" t="s">
        <v>74</v>
      </c>
      <c r="U379" t="s">
        <v>6079</v>
      </c>
      <c r="V379" t="s">
        <v>6080</v>
      </c>
      <c r="W379" t="s">
        <v>6081</v>
      </c>
      <c r="X379" t="s">
        <v>6082</v>
      </c>
      <c r="Y379" t="s">
        <v>6083</v>
      </c>
      <c r="Z379" t="s">
        <v>6084</v>
      </c>
      <c r="AA379" t="s">
        <v>6085</v>
      </c>
      <c r="AB379" t="s">
        <v>6086</v>
      </c>
      <c r="AC379" t="s">
        <v>74</v>
      </c>
      <c r="AD379" t="s">
        <v>74</v>
      </c>
      <c r="AE379" t="s">
        <v>74</v>
      </c>
      <c r="AF379" t="s">
        <v>74</v>
      </c>
      <c r="AG379">
        <v>50</v>
      </c>
      <c r="AH379">
        <v>6</v>
      </c>
      <c r="AI379">
        <v>7</v>
      </c>
      <c r="AJ379">
        <v>0</v>
      </c>
      <c r="AK379">
        <v>4</v>
      </c>
      <c r="AL379" t="s">
        <v>1757</v>
      </c>
      <c r="AM379" t="s">
        <v>88</v>
      </c>
      <c r="AN379" t="s">
        <v>1758</v>
      </c>
      <c r="AO379" t="s">
        <v>2363</v>
      </c>
      <c r="AP379" t="s">
        <v>2364</v>
      </c>
      <c r="AQ379" t="s">
        <v>74</v>
      </c>
      <c r="AR379" t="s">
        <v>2365</v>
      </c>
      <c r="AS379" t="s">
        <v>2366</v>
      </c>
      <c r="AT379" t="s">
        <v>6087</v>
      </c>
      <c r="AU379">
        <v>2006</v>
      </c>
      <c r="AV379">
        <v>111</v>
      </c>
      <c r="AW379" t="s">
        <v>5875</v>
      </c>
      <c r="AX379" t="s">
        <v>74</v>
      </c>
      <c r="AY379" t="s">
        <v>74</v>
      </c>
      <c r="AZ379" t="s">
        <v>74</v>
      </c>
      <c r="BA379" t="s">
        <v>74</v>
      </c>
      <c r="BB379" t="s">
        <v>74</v>
      </c>
      <c r="BC379" t="s">
        <v>74</v>
      </c>
      <c r="BD379" t="s">
        <v>6088</v>
      </c>
      <c r="BE379" t="s">
        <v>6089</v>
      </c>
      <c r="BF379" t="str">
        <f>HYPERLINK("http://dx.doi.org/10.1029/2005JC003181","http://dx.doi.org/10.1029/2005JC003181")</f>
        <v>http://dx.doi.org/10.1029/2005JC003181</v>
      </c>
      <c r="BG379" t="s">
        <v>74</v>
      </c>
      <c r="BH379" t="s">
        <v>74</v>
      </c>
      <c r="BI379">
        <v>14</v>
      </c>
      <c r="BJ379" t="s">
        <v>1069</v>
      </c>
      <c r="BK379" t="s">
        <v>97</v>
      </c>
      <c r="BL379" t="s">
        <v>1069</v>
      </c>
      <c r="BM379" t="s">
        <v>6090</v>
      </c>
      <c r="BN379" t="s">
        <v>74</v>
      </c>
      <c r="BO379" t="s">
        <v>4101</v>
      </c>
      <c r="BP379" t="s">
        <v>74</v>
      </c>
      <c r="BQ379" t="s">
        <v>74</v>
      </c>
      <c r="BR379" t="s">
        <v>100</v>
      </c>
      <c r="BS379" t="s">
        <v>6091</v>
      </c>
      <c r="BT379" t="str">
        <f>HYPERLINK("https%3A%2F%2Fwww.webofscience.com%2Fwos%2Fwoscc%2Ffull-record%2FWOS:000238007800001","View Full Record in Web of Science")</f>
        <v>View Full Record in Web of Science</v>
      </c>
    </row>
    <row r="380" spans="1:72" x14ac:dyDescent="0.15">
      <c r="A380" t="s">
        <v>72</v>
      </c>
      <c r="B380" t="s">
        <v>6092</v>
      </c>
      <c r="C380" t="s">
        <v>74</v>
      </c>
      <c r="D380" t="s">
        <v>74</v>
      </c>
      <c r="E380" t="s">
        <v>74</v>
      </c>
      <c r="F380" t="s">
        <v>6093</v>
      </c>
      <c r="G380" t="s">
        <v>74</v>
      </c>
      <c r="H380" t="s">
        <v>74</v>
      </c>
      <c r="I380" t="s">
        <v>6094</v>
      </c>
      <c r="J380" t="s">
        <v>2560</v>
      </c>
      <c r="K380" t="s">
        <v>74</v>
      </c>
      <c r="L380" t="s">
        <v>74</v>
      </c>
      <c r="M380" t="s">
        <v>78</v>
      </c>
      <c r="N380" t="s">
        <v>79</v>
      </c>
      <c r="O380" t="s">
        <v>74</v>
      </c>
      <c r="P380" t="s">
        <v>74</v>
      </c>
      <c r="Q380" t="s">
        <v>74</v>
      </c>
      <c r="R380" t="s">
        <v>74</v>
      </c>
      <c r="S380" t="s">
        <v>74</v>
      </c>
      <c r="T380" t="s">
        <v>6095</v>
      </c>
      <c r="U380" t="s">
        <v>6096</v>
      </c>
      <c r="V380" t="s">
        <v>6097</v>
      </c>
      <c r="W380" t="s">
        <v>6098</v>
      </c>
      <c r="X380" t="s">
        <v>6099</v>
      </c>
      <c r="Y380" t="s">
        <v>6100</v>
      </c>
      <c r="Z380" t="s">
        <v>6101</v>
      </c>
      <c r="AA380" t="s">
        <v>6102</v>
      </c>
      <c r="AB380" t="s">
        <v>6103</v>
      </c>
      <c r="AC380" t="s">
        <v>74</v>
      </c>
      <c r="AD380" t="s">
        <v>74</v>
      </c>
      <c r="AE380" t="s">
        <v>74</v>
      </c>
      <c r="AF380" t="s">
        <v>74</v>
      </c>
      <c r="AG380">
        <v>52</v>
      </c>
      <c r="AH380">
        <v>146</v>
      </c>
      <c r="AI380">
        <v>163</v>
      </c>
      <c r="AJ380">
        <v>0</v>
      </c>
      <c r="AK380">
        <v>32</v>
      </c>
      <c r="AL380" t="s">
        <v>2570</v>
      </c>
      <c r="AM380" t="s">
        <v>88</v>
      </c>
      <c r="AN380" t="s">
        <v>2571</v>
      </c>
      <c r="AO380" t="s">
        <v>2572</v>
      </c>
      <c r="AP380" t="s">
        <v>74</v>
      </c>
      <c r="AQ380" t="s">
        <v>74</v>
      </c>
      <c r="AR380" t="s">
        <v>2573</v>
      </c>
      <c r="AS380" t="s">
        <v>2574</v>
      </c>
      <c r="AT380" t="s">
        <v>6087</v>
      </c>
      <c r="AU380">
        <v>2006</v>
      </c>
      <c r="AV380">
        <v>103</v>
      </c>
      <c r="AW380">
        <v>20</v>
      </c>
      <c r="AX380" t="s">
        <v>74</v>
      </c>
      <c r="AY380" t="s">
        <v>74</v>
      </c>
      <c r="AZ380" t="s">
        <v>74</v>
      </c>
      <c r="BA380" t="s">
        <v>74</v>
      </c>
      <c r="BB380">
        <v>7723</v>
      </c>
      <c r="BC380">
        <v>7728</v>
      </c>
      <c r="BD380" t="s">
        <v>74</v>
      </c>
      <c r="BE380" t="s">
        <v>6104</v>
      </c>
      <c r="BF380" t="str">
        <f>HYPERLINK("http://dx.doi.org/10.1073/pnas.0602578103","http://dx.doi.org/10.1073/pnas.0602578103")</f>
        <v>http://dx.doi.org/10.1073/pnas.0602578103</v>
      </c>
      <c r="BG380" t="s">
        <v>74</v>
      </c>
      <c r="BH380" t="s">
        <v>74</v>
      </c>
      <c r="BI380">
        <v>6</v>
      </c>
      <c r="BJ380" t="s">
        <v>1841</v>
      </c>
      <c r="BK380" t="s">
        <v>97</v>
      </c>
      <c r="BL380" t="s">
        <v>1842</v>
      </c>
      <c r="BM380" t="s">
        <v>6105</v>
      </c>
      <c r="BN380">
        <v>16675549</v>
      </c>
      <c r="BO380" t="s">
        <v>99</v>
      </c>
      <c r="BP380" t="s">
        <v>74</v>
      </c>
      <c r="BQ380" t="s">
        <v>74</v>
      </c>
      <c r="BR380" t="s">
        <v>100</v>
      </c>
      <c r="BS380" t="s">
        <v>6106</v>
      </c>
      <c r="BT380" t="str">
        <f>HYPERLINK("https%3A%2F%2Fwww.webofscience.com%2Fwos%2Fwoscc%2Ffull-record%2FWOS:000237835900036","View Full Record in Web of Science")</f>
        <v>View Full Record in Web of Science</v>
      </c>
    </row>
    <row r="381" spans="1:72" x14ac:dyDescent="0.15">
      <c r="A381" t="s">
        <v>72</v>
      </c>
      <c r="B381" t="s">
        <v>6107</v>
      </c>
      <c r="C381" t="s">
        <v>74</v>
      </c>
      <c r="D381" t="s">
        <v>74</v>
      </c>
      <c r="E381" t="s">
        <v>74</v>
      </c>
      <c r="F381" t="s">
        <v>6108</v>
      </c>
      <c r="G381" t="s">
        <v>74</v>
      </c>
      <c r="H381" t="s">
        <v>74</v>
      </c>
      <c r="I381" t="s">
        <v>6109</v>
      </c>
      <c r="J381" t="s">
        <v>3745</v>
      </c>
      <c r="K381" t="s">
        <v>74</v>
      </c>
      <c r="L381" t="s">
        <v>74</v>
      </c>
      <c r="M381" t="s">
        <v>78</v>
      </c>
      <c r="N381" t="s">
        <v>79</v>
      </c>
      <c r="O381" t="s">
        <v>74</v>
      </c>
      <c r="P381" t="s">
        <v>74</v>
      </c>
      <c r="Q381" t="s">
        <v>74</v>
      </c>
      <c r="R381" t="s">
        <v>74</v>
      </c>
      <c r="S381" t="s">
        <v>74</v>
      </c>
      <c r="T381" t="s">
        <v>6110</v>
      </c>
      <c r="U381" t="s">
        <v>6111</v>
      </c>
      <c r="V381" t="s">
        <v>6112</v>
      </c>
      <c r="W381" t="s">
        <v>6113</v>
      </c>
      <c r="X381" t="s">
        <v>6114</v>
      </c>
      <c r="Y381" t="s">
        <v>6115</v>
      </c>
      <c r="Z381" t="s">
        <v>6116</v>
      </c>
      <c r="AA381" t="s">
        <v>6117</v>
      </c>
      <c r="AB381" t="s">
        <v>74</v>
      </c>
      <c r="AC381" t="s">
        <v>74</v>
      </c>
      <c r="AD381" t="s">
        <v>74</v>
      </c>
      <c r="AE381" t="s">
        <v>74</v>
      </c>
      <c r="AF381" t="s">
        <v>74</v>
      </c>
      <c r="AG381">
        <v>30</v>
      </c>
      <c r="AH381">
        <v>46</v>
      </c>
      <c r="AI381">
        <v>48</v>
      </c>
      <c r="AJ381">
        <v>0</v>
      </c>
      <c r="AK381">
        <v>17</v>
      </c>
      <c r="AL381" t="s">
        <v>1261</v>
      </c>
      <c r="AM381" t="s">
        <v>520</v>
      </c>
      <c r="AN381" t="s">
        <v>1262</v>
      </c>
      <c r="AO381" t="s">
        <v>3753</v>
      </c>
      <c r="AP381" t="s">
        <v>3754</v>
      </c>
      <c r="AQ381" t="s">
        <v>74</v>
      </c>
      <c r="AR381" t="s">
        <v>3755</v>
      </c>
      <c r="AS381" t="s">
        <v>3756</v>
      </c>
      <c r="AT381" t="s">
        <v>6118</v>
      </c>
      <c r="AU381">
        <v>2006</v>
      </c>
      <c r="AV381">
        <v>245</v>
      </c>
      <c r="AW381" t="s">
        <v>765</v>
      </c>
      <c r="AX381" t="s">
        <v>74</v>
      </c>
      <c r="AY381" t="s">
        <v>74</v>
      </c>
      <c r="AZ381" t="s">
        <v>74</v>
      </c>
      <c r="BA381" t="s">
        <v>74</v>
      </c>
      <c r="BB381">
        <v>56</v>
      </c>
      <c r="BC381">
        <v>64</v>
      </c>
      <c r="BD381" t="s">
        <v>74</v>
      </c>
      <c r="BE381" t="s">
        <v>6119</v>
      </c>
      <c r="BF381" t="str">
        <f>HYPERLINK("http://dx.doi.org/10.1016/j.epsl.2006.03.003","http://dx.doi.org/10.1016/j.epsl.2006.03.003")</f>
        <v>http://dx.doi.org/10.1016/j.epsl.2006.03.003</v>
      </c>
      <c r="BG381" t="s">
        <v>74</v>
      </c>
      <c r="BH381" t="s">
        <v>74</v>
      </c>
      <c r="BI381">
        <v>9</v>
      </c>
      <c r="BJ381" t="s">
        <v>608</v>
      </c>
      <c r="BK381" t="s">
        <v>97</v>
      </c>
      <c r="BL381" t="s">
        <v>608</v>
      </c>
      <c r="BM381" t="s">
        <v>6120</v>
      </c>
      <c r="BN381" t="s">
        <v>74</v>
      </c>
      <c r="BO381" t="s">
        <v>74</v>
      </c>
      <c r="BP381" t="s">
        <v>74</v>
      </c>
      <c r="BQ381" t="s">
        <v>74</v>
      </c>
      <c r="BR381" t="s">
        <v>100</v>
      </c>
      <c r="BS381" t="s">
        <v>6121</v>
      </c>
      <c r="BT381" t="str">
        <f>HYPERLINK("https%3A%2F%2Fwww.webofscience.com%2Fwos%2Fwoscc%2Ffull-record%2FWOS:000238601100006","View Full Record in Web of Science")</f>
        <v>View Full Record in Web of Science</v>
      </c>
    </row>
    <row r="382" spans="1:72" x14ac:dyDescent="0.15">
      <c r="A382" t="s">
        <v>72</v>
      </c>
      <c r="B382" t="s">
        <v>6122</v>
      </c>
      <c r="C382" t="s">
        <v>74</v>
      </c>
      <c r="D382" t="s">
        <v>74</v>
      </c>
      <c r="E382" t="s">
        <v>74</v>
      </c>
      <c r="F382" t="s">
        <v>6123</v>
      </c>
      <c r="G382" t="s">
        <v>74</v>
      </c>
      <c r="H382" t="s">
        <v>74</v>
      </c>
      <c r="I382" t="s">
        <v>6124</v>
      </c>
      <c r="J382" t="s">
        <v>3745</v>
      </c>
      <c r="K382" t="s">
        <v>74</v>
      </c>
      <c r="L382" t="s">
        <v>74</v>
      </c>
      <c r="M382" t="s">
        <v>78</v>
      </c>
      <c r="N382" t="s">
        <v>79</v>
      </c>
      <c r="O382" t="s">
        <v>74</v>
      </c>
      <c r="P382" t="s">
        <v>74</v>
      </c>
      <c r="Q382" t="s">
        <v>74</v>
      </c>
      <c r="R382" t="s">
        <v>74</v>
      </c>
      <c r="S382" t="s">
        <v>74</v>
      </c>
      <c r="T382" t="s">
        <v>6125</v>
      </c>
      <c r="U382" t="s">
        <v>6126</v>
      </c>
      <c r="V382" t="s">
        <v>6127</v>
      </c>
      <c r="W382" t="s">
        <v>6128</v>
      </c>
      <c r="X382" t="s">
        <v>6129</v>
      </c>
      <c r="Y382" t="s">
        <v>6130</v>
      </c>
      <c r="Z382" t="s">
        <v>6131</v>
      </c>
      <c r="AA382" t="s">
        <v>6132</v>
      </c>
      <c r="AB382" t="s">
        <v>74</v>
      </c>
      <c r="AC382" t="s">
        <v>74</v>
      </c>
      <c r="AD382" t="s">
        <v>74</v>
      </c>
      <c r="AE382" t="s">
        <v>74</v>
      </c>
      <c r="AF382" t="s">
        <v>74</v>
      </c>
      <c r="AG382">
        <v>36</v>
      </c>
      <c r="AH382">
        <v>33</v>
      </c>
      <c r="AI382">
        <v>36</v>
      </c>
      <c r="AJ382">
        <v>0</v>
      </c>
      <c r="AK382">
        <v>15</v>
      </c>
      <c r="AL382" t="s">
        <v>519</v>
      </c>
      <c r="AM382" t="s">
        <v>520</v>
      </c>
      <c r="AN382" t="s">
        <v>521</v>
      </c>
      <c r="AO382" t="s">
        <v>3753</v>
      </c>
      <c r="AP382" t="s">
        <v>3754</v>
      </c>
      <c r="AQ382" t="s">
        <v>74</v>
      </c>
      <c r="AR382" t="s">
        <v>3755</v>
      </c>
      <c r="AS382" t="s">
        <v>3756</v>
      </c>
      <c r="AT382" t="s">
        <v>6118</v>
      </c>
      <c r="AU382">
        <v>2006</v>
      </c>
      <c r="AV382">
        <v>245</v>
      </c>
      <c r="AW382" t="s">
        <v>765</v>
      </c>
      <c r="AX382" t="s">
        <v>74</v>
      </c>
      <c r="AY382" t="s">
        <v>74</v>
      </c>
      <c r="AZ382" t="s">
        <v>74</v>
      </c>
      <c r="BA382" t="s">
        <v>74</v>
      </c>
      <c r="BB382">
        <v>115</v>
      </c>
      <c r="BC382">
        <v>122</v>
      </c>
      <c r="BD382" t="s">
        <v>74</v>
      </c>
      <c r="BE382" t="s">
        <v>6133</v>
      </c>
      <c r="BF382" t="str">
        <f>HYPERLINK("http://dx.doi.org/10.1016/j.epsl.2006.03.020","http://dx.doi.org/10.1016/j.epsl.2006.03.020")</f>
        <v>http://dx.doi.org/10.1016/j.epsl.2006.03.020</v>
      </c>
      <c r="BG382" t="s">
        <v>74</v>
      </c>
      <c r="BH382" t="s">
        <v>74</v>
      </c>
      <c r="BI382">
        <v>8</v>
      </c>
      <c r="BJ382" t="s">
        <v>608</v>
      </c>
      <c r="BK382" t="s">
        <v>97</v>
      </c>
      <c r="BL382" t="s">
        <v>608</v>
      </c>
      <c r="BM382" t="s">
        <v>6120</v>
      </c>
      <c r="BN382" t="s">
        <v>74</v>
      </c>
      <c r="BO382" t="s">
        <v>74</v>
      </c>
      <c r="BP382" t="s">
        <v>74</v>
      </c>
      <c r="BQ382" t="s">
        <v>74</v>
      </c>
      <c r="BR382" t="s">
        <v>100</v>
      </c>
      <c r="BS382" t="s">
        <v>6134</v>
      </c>
      <c r="BT382" t="str">
        <f>HYPERLINK("https%3A%2F%2Fwww.webofscience.com%2Fwos%2Fwoscc%2Ffull-record%2FWOS:000238601100010","View Full Record in Web of Science")</f>
        <v>View Full Record in Web of Science</v>
      </c>
    </row>
    <row r="383" spans="1:72" x14ac:dyDescent="0.15">
      <c r="A383" t="s">
        <v>72</v>
      </c>
      <c r="B383" t="s">
        <v>6135</v>
      </c>
      <c r="C383" t="s">
        <v>74</v>
      </c>
      <c r="D383" t="s">
        <v>74</v>
      </c>
      <c r="E383" t="s">
        <v>74</v>
      </c>
      <c r="F383" t="s">
        <v>6135</v>
      </c>
      <c r="G383" t="s">
        <v>74</v>
      </c>
      <c r="H383" t="s">
        <v>74</v>
      </c>
      <c r="I383" t="s">
        <v>6136</v>
      </c>
      <c r="J383" t="s">
        <v>6137</v>
      </c>
      <c r="K383" t="s">
        <v>74</v>
      </c>
      <c r="L383" t="s">
        <v>74</v>
      </c>
      <c r="M383" t="s">
        <v>78</v>
      </c>
      <c r="N383" t="s">
        <v>79</v>
      </c>
      <c r="O383" t="s">
        <v>74</v>
      </c>
      <c r="P383" t="s">
        <v>74</v>
      </c>
      <c r="Q383" t="s">
        <v>74</v>
      </c>
      <c r="R383" t="s">
        <v>74</v>
      </c>
      <c r="S383" t="s">
        <v>74</v>
      </c>
      <c r="T383" t="s">
        <v>74</v>
      </c>
      <c r="U383" t="s">
        <v>6138</v>
      </c>
      <c r="V383" t="s">
        <v>6139</v>
      </c>
      <c r="W383" t="s">
        <v>6140</v>
      </c>
      <c r="X383" t="s">
        <v>6141</v>
      </c>
      <c r="Y383" t="s">
        <v>6142</v>
      </c>
      <c r="Z383" t="s">
        <v>6143</v>
      </c>
      <c r="AA383" t="s">
        <v>6144</v>
      </c>
      <c r="AB383" t="s">
        <v>6145</v>
      </c>
      <c r="AC383" t="s">
        <v>74</v>
      </c>
      <c r="AD383" t="s">
        <v>74</v>
      </c>
      <c r="AE383" t="s">
        <v>74</v>
      </c>
      <c r="AF383" t="s">
        <v>74</v>
      </c>
      <c r="AG383">
        <v>34</v>
      </c>
      <c r="AH383">
        <v>110</v>
      </c>
      <c r="AI383">
        <v>137</v>
      </c>
      <c r="AJ383">
        <v>1</v>
      </c>
      <c r="AK383">
        <v>37</v>
      </c>
      <c r="AL383" t="s">
        <v>6146</v>
      </c>
      <c r="AM383" t="s">
        <v>88</v>
      </c>
      <c r="AN383" t="s">
        <v>6147</v>
      </c>
      <c r="AO383" t="s">
        <v>6148</v>
      </c>
      <c r="AP383" t="s">
        <v>74</v>
      </c>
      <c r="AQ383" t="s">
        <v>74</v>
      </c>
      <c r="AR383" t="s">
        <v>6149</v>
      </c>
      <c r="AS383" t="s">
        <v>6150</v>
      </c>
      <c r="AT383" t="s">
        <v>6118</v>
      </c>
      <c r="AU383">
        <v>2006</v>
      </c>
      <c r="AV383">
        <v>40</v>
      </c>
      <c r="AW383">
        <v>10</v>
      </c>
      <c r="AX383" t="s">
        <v>74</v>
      </c>
      <c r="AY383" t="s">
        <v>74</v>
      </c>
      <c r="AZ383" t="s">
        <v>74</v>
      </c>
      <c r="BA383" t="s">
        <v>74</v>
      </c>
      <c r="BB383">
        <v>3355</v>
      </c>
      <c r="BC383">
        <v>3361</v>
      </c>
      <c r="BD383" t="s">
        <v>74</v>
      </c>
      <c r="BE383" t="s">
        <v>6151</v>
      </c>
      <c r="BF383" t="str">
        <f>HYPERLINK("http://dx.doi.org/10.1021/es052536w","http://dx.doi.org/10.1021/es052536w")</f>
        <v>http://dx.doi.org/10.1021/es052536w</v>
      </c>
      <c r="BG383" t="s">
        <v>74</v>
      </c>
      <c r="BH383" t="s">
        <v>74</v>
      </c>
      <c r="BI383">
        <v>7</v>
      </c>
      <c r="BJ383" t="s">
        <v>6152</v>
      </c>
      <c r="BK383" t="s">
        <v>97</v>
      </c>
      <c r="BL383" t="s">
        <v>6153</v>
      </c>
      <c r="BM383" t="s">
        <v>6154</v>
      </c>
      <c r="BN383">
        <v>16749705</v>
      </c>
      <c r="BO383" t="s">
        <v>74</v>
      </c>
      <c r="BP383" t="s">
        <v>74</v>
      </c>
      <c r="BQ383" t="s">
        <v>74</v>
      </c>
      <c r="BR383" t="s">
        <v>100</v>
      </c>
      <c r="BS383" t="s">
        <v>6155</v>
      </c>
      <c r="BT383" t="str">
        <f>HYPERLINK("https%3A%2F%2Fwww.webofscience.com%2Fwos%2Fwoscc%2Ffull-record%2FWOS:000237525500039","View Full Record in Web of Science")</f>
        <v>View Full Record in Web of Science</v>
      </c>
    </row>
    <row r="384" spans="1:72" x14ac:dyDescent="0.15">
      <c r="A384" t="s">
        <v>72</v>
      </c>
      <c r="B384" t="s">
        <v>6156</v>
      </c>
      <c r="C384" t="s">
        <v>74</v>
      </c>
      <c r="D384" t="s">
        <v>74</v>
      </c>
      <c r="E384" t="s">
        <v>74</v>
      </c>
      <c r="F384" t="s">
        <v>6156</v>
      </c>
      <c r="G384" t="s">
        <v>74</v>
      </c>
      <c r="H384" t="s">
        <v>74</v>
      </c>
      <c r="I384" t="s">
        <v>6157</v>
      </c>
      <c r="J384" t="s">
        <v>614</v>
      </c>
      <c r="K384" t="s">
        <v>74</v>
      </c>
      <c r="L384" t="s">
        <v>74</v>
      </c>
      <c r="M384" t="s">
        <v>78</v>
      </c>
      <c r="N384" t="s">
        <v>79</v>
      </c>
      <c r="O384" t="s">
        <v>74</v>
      </c>
      <c r="P384" t="s">
        <v>74</v>
      </c>
      <c r="Q384" t="s">
        <v>74</v>
      </c>
      <c r="R384" t="s">
        <v>74</v>
      </c>
      <c r="S384" t="s">
        <v>74</v>
      </c>
      <c r="T384" t="s">
        <v>74</v>
      </c>
      <c r="U384" t="s">
        <v>6158</v>
      </c>
      <c r="V384" t="s">
        <v>6159</v>
      </c>
      <c r="W384" t="s">
        <v>6160</v>
      </c>
      <c r="X384" t="s">
        <v>6161</v>
      </c>
      <c r="Y384" t="s">
        <v>6162</v>
      </c>
      <c r="Z384" t="s">
        <v>6163</v>
      </c>
      <c r="AA384" t="s">
        <v>74</v>
      </c>
      <c r="AB384" t="s">
        <v>74</v>
      </c>
      <c r="AC384" t="s">
        <v>74</v>
      </c>
      <c r="AD384" t="s">
        <v>74</v>
      </c>
      <c r="AE384" t="s">
        <v>74</v>
      </c>
      <c r="AF384" t="s">
        <v>74</v>
      </c>
      <c r="AG384">
        <v>34</v>
      </c>
      <c r="AH384">
        <v>55</v>
      </c>
      <c r="AI384">
        <v>56</v>
      </c>
      <c r="AJ384">
        <v>0</v>
      </c>
      <c r="AK384">
        <v>11</v>
      </c>
      <c r="AL384" t="s">
        <v>387</v>
      </c>
      <c r="AM384" t="s">
        <v>388</v>
      </c>
      <c r="AN384" t="s">
        <v>389</v>
      </c>
      <c r="AO384" t="s">
        <v>622</v>
      </c>
      <c r="AP384" t="s">
        <v>74</v>
      </c>
      <c r="AQ384" t="s">
        <v>74</v>
      </c>
      <c r="AR384" t="s">
        <v>624</v>
      </c>
      <c r="AS384" t="s">
        <v>625</v>
      </c>
      <c r="AT384" t="s">
        <v>6118</v>
      </c>
      <c r="AU384">
        <v>2006</v>
      </c>
      <c r="AV384">
        <v>70</v>
      </c>
      <c r="AW384">
        <v>10</v>
      </c>
      <c r="AX384" t="s">
        <v>74</v>
      </c>
      <c r="AY384" t="s">
        <v>74</v>
      </c>
      <c r="AZ384" t="s">
        <v>74</v>
      </c>
      <c r="BA384" t="s">
        <v>74</v>
      </c>
      <c r="BB384">
        <v>2603</v>
      </c>
      <c r="BC384">
        <v>2621</v>
      </c>
      <c r="BD384" t="s">
        <v>74</v>
      </c>
      <c r="BE384" t="s">
        <v>6164</v>
      </c>
      <c r="BF384" t="str">
        <f>HYPERLINK("http://dx.doi.org/10.1016/j.gca.2006.02.005","http://dx.doi.org/10.1016/j.gca.2006.02.005")</f>
        <v>http://dx.doi.org/10.1016/j.gca.2006.02.005</v>
      </c>
      <c r="BG384" t="s">
        <v>74</v>
      </c>
      <c r="BH384" t="s">
        <v>74</v>
      </c>
      <c r="BI384">
        <v>19</v>
      </c>
      <c r="BJ384" t="s">
        <v>608</v>
      </c>
      <c r="BK384" t="s">
        <v>97</v>
      </c>
      <c r="BL384" t="s">
        <v>608</v>
      </c>
      <c r="BM384" t="s">
        <v>6165</v>
      </c>
      <c r="BN384" t="s">
        <v>74</v>
      </c>
      <c r="BO384" t="s">
        <v>74</v>
      </c>
      <c r="BP384" t="s">
        <v>74</v>
      </c>
      <c r="BQ384" t="s">
        <v>74</v>
      </c>
      <c r="BR384" t="s">
        <v>100</v>
      </c>
      <c r="BS384" t="s">
        <v>6166</v>
      </c>
      <c r="BT384" t="str">
        <f>HYPERLINK("https%3A%2F%2Fwww.webofscience.com%2Fwos%2Fwoscc%2Ffull-record%2FWOS:000237687400012","View Full Record in Web of Science")</f>
        <v>View Full Record in Web of Science</v>
      </c>
    </row>
    <row r="385" spans="1:72" x14ac:dyDescent="0.15">
      <c r="A385" t="s">
        <v>72</v>
      </c>
      <c r="B385" t="s">
        <v>6167</v>
      </c>
      <c r="C385" t="s">
        <v>74</v>
      </c>
      <c r="D385" t="s">
        <v>74</v>
      </c>
      <c r="E385" t="s">
        <v>74</v>
      </c>
      <c r="F385" t="s">
        <v>6168</v>
      </c>
      <c r="G385" t="s">
        <v>74</v>
      </c>
      <c r="H385" t="s">
        <v>74</v>
      </c>
      <c r="I385" t="s">
        <v>6169</v>
      </c>
      <c r="J385" t="s">
        <v>852</v>
      </c>
      <c r="K385" t="s">
        <v>74</v>
      </c>
      <c r="L385" t="s">
        <v>74</v>
      </c>
      <c r="M385" t="s">
        <v>78</v>
      </c>
      <c r="N385" t="s">
        <v>79</v>
      </c>
      <c r="O385" t="s">
        <v>74</v>
      </c>
      <c r="P385" t="s">
        <v>74</v>
      </c>
      <c r="Q385" t="s">
        <v>74</v>
      </c>
      <c r="R385" t="s">
        <v>74</v>
      </c>
      <c r="S385" t="s">
        <v>74</v>
      </c>
      <c r="T385" t="s">
        <v>74</v>
      </c>
      <c r="U385" t="s">
        <v>6170</v>
      </c>
      <c r="V385" t="s">
        <v>6171</v>
      </c>
      <c r="W385" t="s">
        <v>6172</v>
      </c>
      <c r="X385" t="s">
        <v>74</v>
      </c>
      <c r="Y385" t="s">
        <v>6173</v>
      </c>
      <c r="Z385" t="s">
        <v>6174</v>
      </c>
      <c r="AA385" t="s">
        <v>6175</v>
      </c>
      <c r="AB385" t="s">
        <v>74</v>
      </c>
      <c r="AC385" t="s">
        <v>74</v>
      </c>
      <c r="AD385" t="s">
        <v>74</v>
      </c>
      <c r="AE385" t="s">
        <v>74</v>
      </c>
      <c r="AF385" t="s">
        <v>74</v>
      </c>
      <c r="AG385">
        <v>45</v>
      </c>
      <c r="AH385">
        <v>14</v>
      </c>
      <c r="AI385">
        <v>15</v>
      </c>
      <c r="AJ385">
        <v>0</v>
      </c>
      <c r="AK385">
        <v>7</v>
      </c>
      <c r="AL385" t="s">
        <v>861</v>
      </c>
      <c r="AM385" t="s">
        <v>862</v>
      </c>
      <c r="AN385" t="s">
        <v>863</v>
      </c>
      <c r="AO385" t="s">
        <v>864</v>
      </c>
      <c r="AP385" t="s">
        <v>865</v>
      </c>
      <c r="AQ385" t="s">
        <v>74</v>
      </c>
      <c r="AR385" t="s">
        <v>866</v>
      </c>
      <c r="AS385" t="s">
        <v>867</v>
      </c>
      <c r="AT385" t="s">
        <v>6118</v>
      </c>
      <c r="AU385">
        <v>2006</v>
      </c>
      <c r="AV385">
        <v>19</v>
      </c>
      <c r="AW385">
        <v>10</v>
      </c>
      <c r="AX385" t="s">
        <v>74</v>
      </c>
      <c r="AY385" t="s">
        <v>74</v>
      </c>
      <c r="AZ385" t="s">
        <v>74</v>
      </c>
      <c r="BA385" t="s">
        <v>74</v>
      </c>
      <c r="BB385">
        <v>2008</v>
      </c>
      <c r="BC385">
        <v>2024</v>
      </c>
      <c r="BD385" t="s">
        <v>74</v>
      </c>
      <c r="BE385" t="s">
        <v>6176</v>
      </c>
      <c r="BF385" t="str">
        <f>HYPERLINK("http://dx.doi.org/10.1175/JCLI3727.1","http://dx.doi.org/10.1175/JCLI3727.1")</f>
        <v>http://dx.doi.org/10.1175/JCLI3727.1</v>
      </c>
      <c r="BG385" t="s">
        <v>74</v>
      </c>
      <c r="BH385" t="s">
        <v>74</v>
      </c>
      <c r="BI385">
        <v>17</v>
      </c>
      <c r="BJ385" t="s">
        <v>869</v>
      </c>
      <c r="BK385" t="s">
        <v>97</v>
      </c>
      <c r="BL385" t="s">
        <v>869</v>
      </c>
      <c r="BM385" t="s">
        <v>6177</v>
      </c>
      <c r="BN385" t="s">
        <v>74</v>
      </c>
      <c r="BO385" t="s">
        <v>901</v>
      </c>
      <c r="BP385" t="s">
        <v>74</v>
      </c>
      <c r="BQ385" t="s">
        <v>74</v>
      </c>
      <c r="BR385" t="s">
        <v>100</v>
      </c>
      <c r="BS385" t="s">
        <v>6178</v>
      </c>
      <c r="BT385" t="str">
        <f>HYPERLINK("https%3A%2F%2Fwww.webofscience.com%2Fwos%2Fwoscc%2Ffull-record%2FWOS:000237778700007","View Full Record in Web of Science")</f>
        <v>View Full Record in Web of Science</v>
      </c>
    </row>
    <row r="386" spans="1:72" x14ac:dyDescent="0.15">
      <c r="A386" t="s">
        <v>72</v>
      </c>
      <c r="B386" t="s">
        <v>6179</v>
      </c>
      <c r="C386" t="s">
        <v>74</v>
      </c>
      <c r="D386" t="s">
        <v>74</v>
      </c>
      <c r="E386" t="s">
        <v>74</v>
      </c>
      <c r="F386" t="s">
        <v>6179</v>
      </c>
      <c r="G386" t="s">
        <v>74</v>
      </c>
      <c r="H386" t="s">
        <v>74</v>
      </c>
      <c r="I386" t="s">
        <v>6180</v>
      </c>
      <c r="J386" t="s">
        <v>5351</v>
      </c>
      <c r="K386" t="s">
        <v>74</v>
      </c>
      <c r="L386" t="s">
        <v>74</v>
      </c>
      <c r="M386" t="s">
        <v>78</v>
      </c>
      <c r="N386" t="s">
        <v>552</v>
      </c>
      <c r="O386" t="s">
        <v>74</v>
      </c>
      <c r="P386" t="s">
        <v>74</v>
      </c>
      <c r="Q386" t="s">
        <v>74</v>
      </c>
      <c r="R386" t="s">
        <v>74</v>
      </c>
      <c r="S386" t="s">
        <v>74</v>
      </c>
      <c r="T386" t="s">
        <v>6181</v>
      </c>
      <c r="U386" t="s">
        <v>6182</v>
      </c>
      <c r="V386" t="s">
        <v>6183</v>
      </c>
      <c r="W386" t="s">
        <v>6184</v>
      </c>
      <c r="X386" t="s">
        <v>6185</v>
      </c>
      <c r="Y386" t="s">
        <v>6186</v>
      </c>
      <c r="Z386" t="s">
        <v>6187</v>
      </c>
      <c r="AA386" t="s">
        <v>74</v>
      </c>
      <c r="AB386" t="s">
        <v>74</v>
      </c>
      <c r="AC386" t="s">
        <v>74</v>
      </c>
      <c r="AD386" t="s">
        <v>74</v>
      </c>
      <c r="AE386" t="s">
        <v>74</v>
      </c>
      <c r="AF386" t="s">
        <v>74</v>
      </c>
      <c r="AG386">
        <v>91</v>
      </c>
      <c r="AH386">
        <v>197</v>
      </c>
      <c r="AI386">
        <v>227</v>
      </c>
      <c r="AJ386">
        <v>5</v>
      </c>
      <c r="AK386">
        <v>80</v>
      </c>
      <c r="AL386" t="s">
        <v>5361</v>
      </c>
      <c r="AM386" t="s">
        <v>5362</v>
      </c>
      <c r="AN386" t="s">
        <v>5363</v>
      </c>
      <c r="AO386" t="s">
        <v>5364</v>
      </c>
      <c r="AP386" t="s">
        <v>5365</v>
      </c>
      <c r="AQ386" t="s">
        <v>74</v>
      </c>
      <c r="AR386" t="s">
        <v>5366</v>
      </c>
      <c r="AS386" t="s">
        <v>5367</v>
      </c>
      <c r="AT386" t="s">
        <v>6118</v>
      </c>
      <c r="AU386">
        <v>2006</v>
      </c>
      <c r="AV386">
        <v>209</v>
      </c>
      <c r="AW386">
        <v>10</v>
      </c>
      <c r="AX386" t="s">
        <v>74</v>
      </c>
      <c r="AY386" t="s">
        <v>74</v>
      </c>
      <c r="AZ386" t="s">
        <v>74</v>
      </c>
      <c r="BA386" t="s">
        <v>74</v>
      </c>
      <c r="BB386">
        <v>1791</v>
      </c>
      <c r="BC386">
        <v>1802</v>
      </c>
      <c r="BD386" t="s">
        <v>74</v>
      </c>
      <c r="BE386" t="s">
        <v>6188</v>
      </c>
      <c r="BF386" t="str">
        <f>HYPERLINK("http://dx.doi.org/10.1242/jeb.02091","http://dx.doi.org/10.1242/jeb.02091")</f>
        <v>http://dx.doi.org/10.1242/jeb.02091</v>
      </c>
      <c r="BG386" t="s">
        <v>74</v>
      </c>
      <c r="BH386" t="s">
        <v>74</v>
      </c>
      <c r="BI386">
        <v>12</v>
      </c>
      <c r="BJ386" t="s">
        <v>5369</v>
      </c>
      <c r="BK386" t="s">
        <v>97</v>
      </c>
      <c r="BL386" t="s">
        <v>5370</v>
      </c>
      <c r="BM386" t="s">
        <v>6189</v>
      </c>
      <c r="BN386">
        <v>16651546</v>
      </c>
      <c r="BO386" t="s">
        <v>74</v>
      </c>
      <c r="BP386" t="s">
        <v>74</v>
      </c>
      <c r="BQ386" t="s">
        <v>74</v>
      </c>
      <c r="BR386" t="s">
        <v>100</v>
      </c>
      <c r="BS386" t="s">
        <v>6190</v>
      </c>
      <c r="BT386" t="str">
        <f>HYPERLINK("https%3A%2F%2Fwww.webofscience.com%2Fwos%2Fwoscc%2Ffull-record%2FWOS:000237236500007","View Full Record in Web of Science")</f>
        <v>View Full Record in Web of Science</v>
      </c>
    </row>
    <row r="387" spans="1:72" x14ac:dyDescent="0.15">
      <c r="A387" t="s">
        <v>72</v>
      </c>
      <c r="B387" t="s">
        <v>6191</v>
      </c>
      <c r="C387" t="s">
        <v>74</v>
      </c>
      <c r="D387" t="s">
        <v>74</v>
      </c>
      <c r="E387" t="s">
        <v>74</v>
      </c>
      <c r="F387" t="s">
        <v>6191</v>
      </c>
      <c r="G387" t="s">
        <v>74</v>
      </c>
      <c r="H387" t="s">
        <v>74</v>
      </c>
      <c r="I387" t="s">
        <v>6192</v>
      </c>
      <c r="J387" t="s">
        <v>5351</v>
      </c>
      <c r="K387" t="s">
        <v>74</v>
      </c>
      <c r="L387" t="s">
        <v>74</v>
      </c>
      <c r="M387" t="s">
        <v>78</v>
      </c>
      <c r="N387" t="s">
        <v>79</v>
      </c>
      <c r="O387" t="s">
        <v>74</v>
      </c>
      <c r="P387" t="s">
        <v>74</v>
      </c>
      <c r="Q387" t="s">
        <v>74</v>
      </c>
      <c r="R387" t="s">
        <v>74</v>
      </c>
      <c r="S387" t="s">
        <v>74</v>
      </c>
      <c r="T387" t="s">
        <v>6193</v>
      </c>
      <c r="U387" t="s">
        <v>6194</v>
      </c>
      <c r="V387" t="s">
        <v>6195</v>
      </c>
      <c r="W387" t="s">
        <v>6196</v>
      </c>
      <c r="X387" t="s">
        <v>6197</v>
      </c>
      <c r="Y387" t="s">
        <v>6198</v>
      </c>
      <c r="Z387" t="s">
        <v>6199</v>
      </c>
      <c r="AA387" t="s">
        <v>6200</v>
      </c>
      <c r="AB387" t="s">
        <v>6201</v>
      </c>
      <c r="AC387" t="s">
        <v>1518</v>
      </c>
      <c r="AD387" t="s">
        <v>413</v>
      </c>
      <c r="AE387" t="s">
        <v>74</v>
      </c>
      <c r="AF387" t="s">
        <v>74</v>
      </c>
      <c r="AG387">
        <v>32</v>
      </c>
      <c r="AH387">
        <v>18</v>
      </c>
      <c r="AI387">
        <v>20</v>
      </c>
      <c r="AJ387">
        <v>13</v>
      </c>
      <c r="AK387">
        <v>43</v>
      </c>
      <c r="AL387" t="s">
        <v>5361</v>
      </c>
      <c r="AM387" t="s">
        <v>5362</v>
      </c>
      <c r="AN387" t="s">
        <v>5363</v>
      </c>
      <c r="AO387" t="s">
        <v>5364</v>
      </c>
      <c r="AP387" t="s">
        <v>5365</v>
      </c>
      <c r="AQ387" t="s">
        <v>74</v>
      </c>
      <c r="AR387" t="s">
        <v>5366</v>
      </c>
      <c r="AS387" t="s">
        <v>5367</v>
      </c>
      <c r="AT387" t="s">
        <v>6118</v>
      </c>
      <c r="AU387">
        <v>2006</v>
      </c>
      <c r="AV387">
        <v>209</v>
      </c>
      <c r="AW387">
        <v>10</v>
      </c>
      <c r="AX387" t="s">
        <v>74</v>
      </c>
      <c r="AY387" t="s">
        <v>74</v>
      </c>
      <c r="AZ387" t="s">
        <v>74</v>
      </c>
      <c r="BA387" t="s">
        <v>74</v>
      </c>
      <c r="BB387">
        <v>1976</v>
      </c>
      <c r="BC387">
        <v>1987</v>
      </c>
      <c r="BD387" t="s">
        <v>74</v>
      </c>
      <c r="BE387" t="s">
        <v>6202</v>
      </c>
      <c r="BF387" t="str">
        <f>HYPERLINK("http://dx.doi.org/10.1242/jeb.02224","http://dx.doi.org/10.1242/jeb.02224")</f>
        <v>http://dx.doi.org/10.1242/jeb.02224</v>
      </c>
      <c r="BG387" t="s">
        <v>74</v>
      </c>
      <c r="BH387" t="s">
        <v>74</v>
      </c>
      <c r="BI387">
        <v>12</v>
      </c>
      <c r="BJ387" t="s">
        <v>5369</v>
      </c>
      <c r="BK387" t="s">
        <v>97</v>
      </c>
      <c r="BL387" t="s">
        <v>5370</v>
      </c>
      <c r="BM387" t="s">
        <v>6189</v>
      </c>
      <c r="BN387">
        <v>16651562</v>
      </c>
      <c r="BO387" t="s">
        <v>74</v>
      </c>
      <c r="BP387" t="s">
        <v>74</v>
      </c>
      <c r="BQ387" t="s">
        <v>74</v>
      </c>
      <c r="BR387" t="s">
        <v>100</v>
      </c>
      <c r="BS387" t="s">
        <v>6203</v>
      </c>
      <c r="BT387" t="str">
        <f>HYPERLINK("https%3A%2F%2Fwww.webofscience.com%2Fwos%2Fwoscc%2Ffull-record%2FWOS:000237236500023","View Full Record in Web of Science")</f>
        <v>View Full Record in Web of Science</v>
      </c>
    </row>
    <row r="388" spans="1:72" x14ac:dyDescent="0.15">
      <c r="A388" t="s">
        <v>72</v>
      </c>
      <c r="B388" t="s">
        <v>6204</v>
      </c>
      <c r="C388" t="s">
        <v>74</v>
      </c>
      <c r="D388" t="s">
        <v>74</v>
      </c>
      <c r="E388" t="s">
        <v>74</v>
      </c>
      <c r="F388" t="s">
        <v>6205</v>
      </c>
      <c r="G388" t="s">
        <v>74</v>
      </c>
      <c r="H388" t="s">
        <v>74</v>
      </c>
      <c r="I388" t="s">
        <v>6206</v>
      </c>
      <c r="J388" t="s">
        <v>1772</v>
      </c>
      <c r="K388" t="s">
        <v>74</v>
      </c>
      <c r="L388" t="s">
        <v>74</v>
      </c>
      <c r="M388" t="s">
        <v>78</v>
      </c>
      <c r="N388" t="s">
        <v>79</v>
      </c>
      <c r="O388" t="s">
        <v>74</v>
      </c>
      <c r="P388" t="s">
        <v>74</v>
      </c>
      <c r="Q388" t="s">
        <v>74</v>
      </c>
      <c r="R388" t="s">
        <v>74</v>
      </c>
      <c r="S388" t="s">
        <v>74</v>
      </c>
      <c r="T388" t="s">
        <v>74</v>
      </c>
      <c r="U388" t="s">
        <v>6207</v>
      </c>
      <c r="V388" t="s">
        <v>6208</v>
      </c>
      <c r="W388" t="s">
        <v>6209</v>
      </c>
      <c r="X388" t="s">
        <v>6210</v>
      </c>
      <c r="Y388" t="s">
        <v>6211</v>
      </c>
      <c r="Z388" t="s">
        <v>6212</v>
      </c>
      <c r="AA388" t="s">
        <v>6213</v>
      </c>
      <c r="AB388" t="s">
        <v>6214</v>
      </c>
      <c r="AC388" t="s">
        <v>74</v>
      </c>
      <c r="AD388" t="s">
        <v>74</v>
      </c>
      <c r="AE388" t="s">
        <v>74</v>
      </c>
      <c r="AF388" t="s">
        <v>74</v>
      </c>
      <c r="AG388">
        <v>59</v>
      </c>
      <c r="AH388">
        <v>30</v>
      </c>
      <c r="AI388">
        <v>30</v>
      </c>
      <c r="AJ388">
        <v>0</v>
      </c>
      <c r="AK388">
        <v>4</v>
      </c>
      <c r="AL388" t="s">
        <v>1757</v>
      </c>
      <c r="AM388" t="s">
        <v>88</v>
      </c>
      <c r="AN388" t="s">
        <v>1758</v>
      </c>
      <c r="AO388" t="s">
        <v>1779</v>
      </c>
      <c r="AP388" t="s">
        <v>74</v>
      </c>
      <c r="AQ388" t="s">
        <v>74</v>
      </c>
      <c r="AR388" t="s">
        <v>1781</v>
      </c>
      <c r="AS388" t="s">
        <v>1782</v>
      </c>
      <c r="AT388" t="s">
        <v>6215</v>
      </c>
      <c r="AU388">
        <v>2006</v>
      </c>
      <c r="AV388">
        <v>111</v>
      </c>
      <c r="AW388" t="s">
        <v>6216</v>
      </c>
      <c r="AX388" t="s">
        <v>74</v>
      </c>
      <c r="AY388" t="s">
        <v>74</v>
      </c>
      <c r="AZ388" t="s">
        <v>74</v>
      </c>
      <c r="BA388" t="s">
        <v>74</v>
      </c>
      <c r="BB388" t="s">
        <v>74</v>
      </c>
      <c r="BC388" t="s">
        <v>74</v>
      </c>
      <c r="BD388" t="s">
        <v>6217</v>
      </c>
      <c r="BE388" t="s">
        <v>6218</v>
      </c>
      <c r="BF388" t="str">
        <f>HYPERLINK("http://dx.doi.org/10.1029/2005JD005840","http://dx.doi.org/10.1029/2005JD005840")</f>
        <v>http://dx.doi.org/10.1029/2005JD005840</v>
      </c>
      <c r="BG388" t="s">
        <v>74</v>
      </c>
      <c r="BH388" t="s">
        <v>74</v>
      </c>
      <c r="BI388">
        <v>12</v>
      </c>
      <c r="BJ388" t="s">
        <v>869</v>
      </c>
      <c r="BK388" t="s">
        <v>97</v>
      </c>
      <c r="BL388" t="s">
        <v>869</v>
      </c>
      <c r="BM388" t="s">
        <v>6219</v>
      </c>
      <c r="BN388" t="s">
        <v>74</v>
      </c>
      <c r="BO388" t="s">
        <v>74</v>
      </c>
      <c r="BP388" t="s">
        <v>74</v>
      </c>
      <c r="BQ388" t="s">
        <v>74</v>
      </c>
      <c r="BR388" t="s">
        <v>100</v>
      </c>
      <c r="BS388" t="s">
        <v>6220</v>
      </c>
      <c r="BT388" t="str">
        <f>HYPERLINK("https%3A%2F%2Fwww.webofscience.com%2Fwos%2Fwoscc%2Ffull-record%2FWOS:000237800700002","View Full Record in Web of Science")</f>
        <v>View Full Record in Web of Science</v>
      </c>
    </row>
    <row r="389" spans="1:72" x14ac:dyDescent="0.15">
      <c r="A389" t="s">
        <v>72</v>
      </c>
      <c r="B389" t="s">
        <v>6221</v>
      </c>
      <c r="C389" t="s">
        <v>74</v>
      </c>
      <c r="D389" t="s">
        <v>74</v>
      </c>
      <c r="E389" t="s">
        <v>74</v>
      </c>
      <c r="F389" t="s">
        <v>6222</v>
      </c>
      <c r="G389" t="s">
        <v>74</v>
      </c>
      <c r="H389" t="s">
        <v>74</v>
      </c>
      <c r="I389" t="s">
        <v>6223</v>
      </c>
      <c r="J389" t="s">
        <v>1772</v>
      </c>
      <c r="K389" t="s">
        <v>74</v>
      </c>
      <c r="L389" t="s">
        <v>74</v>
      </c>
      <c r="M389" t="s">
        <v>78</v>
      </c>
      <c r="N389" t="s">
        <v>79</v>
      </c>
      <c r="O389" t="s">
        <v>74</v>
      </c>
      <c r="P389" t="s">
        <v>74</v>
      </c>
      <c r="Q389" t="s">
        <v>74</v>
      </c>
      <c r="R389" t="s">
        <v>74</v>
      </c>
      <c r="S389" t="s">
        <v>74</v>
      </c>
      <c r="T389" t="s">
        <v>74</v>
      </c>
      <c r="U389" t="s">
        <v>6224</v>
      </c>
      <c r="V389" t="s">
        <v>6225</v>
      </c>
      <c r="W389" t="s">
        <v>6226</v>
      </c>
      <c r="X389" t="s">
        <v>6227</v>
      </c>
      <c r="Y389" t="s">
        <v>6228</v>
      </c>
      <c r="Z389" t="s">
        <v>6229</v>
      </c>
      <c r="AA389" t="s">
        <v>74</v>
      </c>
      <c r="AB389" t="s">
        <v>74</v>
      </c>
      <c r="AC389" t="s">
        <v>74</v>
      </c>
      <c r="AD389" t="s">
        <v>74</v>
      </c>
      <c r="AE389" t="s">
        <v>74</v>
      </c>
      <c r="AF389" t="s">
        <v>74</v>
      </c>
      <c r="AG389">
        <v>27</v>
      </c>
      <c r="AH389">
        <v>28</v>
      </c>
      <c r="AI389">
        <v>28</v>
      </c>
      <c r="AJ389">
        <v>0</v>
      </c>
      <c r="AK389">
        <v>4</v>
      </c>
      <c r="AL389" t="s">
        <v>1757</v>
      </c>
      <c r="AM389" t="s">
        <v>88</v>
      </c>
      <c r="AN389" t="s">
        <v>1758</v>
      </c>
      <c r="AO389" t="s">
        <v>1779</v>
      </c>
      <c r="AP389" t="s">
        <v>1780</v>
      </c>
      <c r="AQ389" t="s">
        <v>74</v>
      </c>
      <c r="AR389" t="s">
        <v>1781</v>
      </c>
      <c r="AS389" t="s">
        <v>1782</v>
      </c>
      <c r="AT389" t="s">
        <v>6230</v>
      </c>
      <c r="AU389">
        <v>2006</v>
      </c>
      <c r="AV389">
        <v>111</v>
      </c>
      <c r="AW389" t="s">
        <v>6216</v>
      </c>
      <c r="AX389" t="s">
        <v>74</v>
      </c>
      <c r="AY389" t="s">
        <v>74</v>
      </c>
      <c r="AZ389" t="s">
        <v>74</v>
      </c>
      <c r="BA389" t="s">
        <v>74</v>
      </c>
      <c r="BB389" t="s">
        <v>74</v>
      </c>
      <c r="BC389" t="s">
        <v>74</v>
      </c>
      <c r="BD389" t="s">
        <v>6231</v>
      </c>
      <c r="BE389" t="s">
        <v>6232</v>
      </c>
      <c r="BF389" t="str">
        <f>HYPERLINK("http://dx.doi.org/10.1029/2005JD006357","http://dx.doi.org/10.1029/2005JD006357")</f>
        <v>http://dx.doi.org/10.1029/2005JD006357</v>
      </c>
      <c r="BG389" t="s">
        <v>74</v>
      </c>
      <c r="BH389" t="s">
        <v>74</v>
      </c>
      <c r="BI389">
        <v>13</v>
      </c>
      <c r="BJ389" t="s">
        <v>869</v>
      </c>
      <c r="BK389" t="s">
        <v>97</v>
      </c>
      <c r="BL389" t="s">
        <v>869</v>
      </c>
      <c r="BM389" t="s">
        <v>6233</v>
      </c>
      <c r="BN389" t="s">
        <v>74</v>
      </c>
      <c r="BO389" t="s">
        <v>460</v>
      </c>
      <c r="BP389" t="s">
        <v>74</v>
      </c>
      <c r="BQ389" t="s">
        <v>74</v>
      </c>
      <c r="BR389" t="s">
        <v>100</v>
      </c>
      <c r="BS389" t="s">
        <v>6234</v>
      </c>
      <c r="BT389" t="str">
        <f>HYPERLINK("https%3A%2F%2Fwww.webofscience.com%2Fwos%2Fwoscc%2Ffull-record%2FWOS:000237800500003","View Full Record in Web of Science")</f>
        <v>View Full Record in Web of Science</v>
      </c>
    </row>
    <row r="390" spans="1:72" x14ac:dyDescent="0.15">
      <c r="A390" t="s">
        <v>72</v>
      </c>
      <c r="B390" t="s">
        <v>6235</v>
      </c>
      <c r="C390" t="s">
        <v>74</v>
      </c>
      <c r="D390" t="s">
        <v>74</v>
      </c>
      <c r="E390" t="s">
        <v>74</v>
      </c>
      <c r="F390" t="s">
        <v>6236</v>
      </c>
      <c r="G390" t="s">
        <v>74</v>
      </c>
      <c r="H390" t="s">
        <v>74</v>
      </c>
      <c r="I390" t="s">
        <v>6237</v>
      </c>
      <c r="J390" t="s">
        <v>2354</v>
      </c>
      <c r="K390" t="s">
        <v>74</v>
      </c>
      <c r="L390" t="s">
        <v>74</v>
      </c>
      <c r="M390" t="s">
        <v>78</v>
      </c>
      <c r="N390" t="s">
        <v>79</v>
      </c>
      <c r="O390" t="s">
        <v>74</v>
      </c>
      <c r="P390" t="s">
        <v>74</v>
      </c>
      <c r="Q390" t="s">
        <v>74</v>
      </c>
      <c r="R390" t="s">
        <v>74</v>
      </c>
      <c r="S390" t="s">
        <v>74</v>
      </c>
      <c r="T390" t="s">
        <v>74</v>
      </c>
      <c r="U390" t="s">
        <v>6238</v>
      </c>
      <c r="V390" t="s">
        <v>6239</v>
      </c>
      <c r="W390" t="s">
        <v>6240</v>
      </c>
      <c r="X390" t="s">
        <v>6241</v>
      </c>
      <c r="Y390" t="s">
        <v>6242</v>
      </c>
      <c r="Z390" t="s">
        <v>6243</v>
      </c>
      <c r="AA390" t="s">
        <v>74</v>
      </c>
      <c r="AB390" t="s">
        <v>6244</v>
      </c>
      <c r="AC390" t="s">
        <v>74</v>
      </c>
      <c r="AD390" t="s">
        <v>74</v>
      </c>
      <c r="AE390" t="s">
        <v>74</v>
      </c>
      <c r="AF390" t="s">
        <v>74</v>
      </c>
      <c r="AG390">
        <v>32</v>
      </c>
      <c r="AH390">
        <v>51</v>
      </c>
      <c r="AI390">
        <v>60</v>
      </c>
      <c r="AJ390">
        <v>1</v>
      </c>
      <c r="AK390">
        <v>8</v>
      </c>
      <c r="AL390" t="s">
        <v>1757</v>
      </c>
      <c r="AM390" t="s">
        <v>88</v>
      </c>
      <c r="AN390" t="s">
        <v>1758</v>
      </c>
      <c r="AO390" t="s">
        <v>2363</v>
      </c>
      <c r="AP390" t="s">
        <v>2364</v>
      </c>
      <c r="AQ390" t="s">
        <v>74</v>
      </c>
      <c r="AR390" t="s">
        <v>2365</v>
      </c>
      <c r="AS390" t="s">
        <v>2366</v>
      </c>
      <c r="AT390" t="s">
        <v>6230</v>
      </c>
      <c r="AU390">
        <v>2006</v>
      </c>
      <c r="AV390">
        <v>111</v>
      </c>
      <c r="AW390" t="s">
        <v>5875</v>
      </c>
      <c r="AX390" t="s">
        <v>74</v>
      </c>
      <c r="AY390" t="s">
        <v>74</v>
      </c>
      <c r="AZ390" t="s">
        <v>74</v>
      </c>
      <c r="BA390" t="s">
        <v>74</v>
      </c>
      <c r="BB390" t="s">
        <v>74</v>
      </c>
      <c r="BC390" t="s">
        <v>74</v>
      </c>
      <c r="BD390" t="s">
        <v>6245</v>
      </c>
      <c r="BE390" t="s">
        <v>6246</v>
      </c>
      <c r="BF390" t="str">
        <f>HYPERLINK("http://dx.doi.org/10.1029/2005JC002904","http://dx.doi.org/10.1029/2005JC002904")</f>
        <v>http://dx.doi.org/10.1029/2005JC002904</v>
      </c>
      <c r="BG390" t="s">
        <v>74</v>
      </c>
      <c r="BH390" t="s">
        <v>74</v>
      </c>
      <c r="BI390">
        <v>15</v>
      </c>
      <c r="BJ390" t="s">
        <v>1069</v>
      </c>
      <c r="BK390" t="s">
        <v>97</v>
      </c>
      <c r="BL390" t="s">
        <v>1069</v>
      </c>
      <c r="BM390" t="s">
        <v>6247</v>
      </c>
      <c r="BN390" t="s">
        <v>74</v>
      </c>
      <c r="BO390" t="s">
        <v>74</v>
      </c>
      <c r="BP390" t="s">
        <v>74</v>
      </c>
      <c r="BQ390" t="s">
        <v>74</v>
      </c>
      <c r="BR390" t="s">
        <v>100</v>
      </c>
      <c r="BS390" t="s">
        <v>6248</v>
      </c>
      <c r="BT390" t="str">
        <f>HYPERLINK("https%3A%2F%2Fwww.webofscience.com%2Fwos%2Fwoscc%2Ffull-record%2FWOS:000237801400001","View Full Record in Web of Science")</f>
        <v>View Full Record in Web of Science</v>
      </c>
    </row>
    <row r="391" spans="1:72" x14ac:dyDescent="0.15">
      <c r="A391" t="s">
        <v>72</v>
      </c>
      <c r="B391" t="s">
        <v>6249</v>
      </c>
      <c r="C391" t="s">
        <v>74</v>
      </c>
      <c r="D391" t="s">
        <v>74</v>
      </c>
      <c r="E391" t="s">
        <v>74</v>
      </c>
      <c r="F391" t="s">
        <v>6250</v>
      </c>
      <c r="G391" t="s">
        <v>74</v>
      </c>
      <c r="H391" t="s">
        <v>74</v>
      </c>
      <c r="I391" t="s">
        <v>6251</v>
      </c>
      <c r="J391" t="s">
        <v>1748</v>
      </c>
      <c r="K391" t="s">
        <v>74</v>
      </c>
      <c r="L391" t="s">
        <v>74</v>
      </c>
      <c r="M391" t="s">
        <v>78</v>
      </c>
      <c r="N391" t="s">
        <v>79</v>
      </c>
      <c r="O391" t="s">
        <v>74</v>
      </c>
      <c r="P391" t="s">
        <v>74</v>
      </c>
      <c r="Q391" t="s">
        <v>74</v>
      </c>
      <c r="R391" t="s">
        <v>74</v>
      </c>
      <c r="S391" t="s">
        <v>74</v>
      </c>
      <c r="T391" t="s">
        <v>74</v>
      </c>
      <c r="U391" t="s">
        <v>6252</v>
      </c>
      <c r="V391" t="s">
        <v>6253</v>
      </c>
      <c r="W391" t="s">
        <v>6254</v>
      </c>
      <c r="X391" t="s">
        <v>6255</v>
      </c>
      <c r="Y391" t="s">
        <v>6256</v>
      </c>
      <c r="Z391" t="s">
        <v>6257</v>
      </c>
      <c r="AA391" t="s">
        <v>74</v>
      </c>
      <c r="AB391" t="s">
        <v>74</v>
      </c>
      <c r="AC391" t="s">
        <v>74</v>
      </c>
      <c r="AD391" t="s">
        <v>74</v>
      </c>
      <c r="AE391" t="s">
        <v>74</v>
      </c>
      <c r="AF391" t="s">
        <v>74</v>
      </c>
      <c r="AG391">
        <v>15</v>
      </c>
      <c r="AH391">
        <v>41</v>
      </c>
      <c r="AI391">
        <v>47</v>
      </c>
      <c r="AJ391">
        <v>1</v>
      </c>
      <c r="AK391">
        <v>36</v>
      </c>
      <c r="AL391" t="s">
        <v>1757</v>
      </c>
      <c r="AM391" t="s">
        <v>88</v>
      </c>
      <c r="AN391" t="s">
        <v>1758</v>
      </c>
      <c r="AO391" t="s">
        <v>1759</v>
      </c>
      <c r="AP391" t="s">
        <v>1760</v>
      </c>
      <c r="AQ391" t="s">
        <v>74</v>
      </c>
      <c r="AR391" t="s">
        <v>1761</v>
      </c>
      <c r="AS391" t="s">
        <v>1762</v>
      </c>
      <c r="AT391" t="s">
        <v>6258</v>
      </c>
      <c r="AU391">
        <v>2006</v>
      </c>
      <c r="AV391">
        <v>33</v>
      </c>
      <c r="AW391">
        <v>9</v>
      </c>
      <c r="AX391" t="s">
        <v>74</v>
      </c>
      <c r="AY391" t="s">
        <v>74</v>
      </c>
      <c r="AZ391" t="s">
        <v>74</v>
      </c>
      <c r="BA391" t="s">
        <v>74</v>
      </c>
      <c r="BB391" t="s">
        <v>74</v>
      </c>
      <c r="BC391" t="s">
        <v>74</v>
      </c>
      <c r="BD391" t="s">
        <v>6259</v>
      </c>
      <c r="BE391" t="s">
        <v>6260</v>
      </c>
      <c r="BF391" t="str">
        <f>HYPERLINK("http://dx.doi.org/10.1029/2005GL025470","http://dx.doi.org/10.1029/2005GL025470")</f>
        <v>http://dx.doi.org/10.1029/2005GL025470</v>
      </c>
      <c r="BG391" t="s">
        <v>74</v>
      </c>
      <c r="BH391" t="s">
        <v>74</v>
      </c>
      <c r="BI391">
        <v>4</v>
      </c>
      <c r="BJ391" t="s">
        <v>527</v>
      </c>
      <c r="BK391" t="s">
        <v>97</v>
      </c>
      <c r="BL391" t="s">
        <v>528</v>
      </c>
      <c r="BM391" t="s">
        <v>6261</v>
      </c>
      <c r="BN391" t="s">
        <v>74</v>
      </c>
      <c r="BO391" t="s">
        <v>99</v>
      </c>
      <c r="BP391" t="s">
        <v>74</v>
      </c>
      <c r="BQ391" t="s">
        <v>74</v>
      </c>
      <c r="BR391" t="s">
        <v>100</v>
      </c>
      <c r="BS391" t="s">
        <v>6262</v>
      </c>
      <c r="BT391" t="str">
        <f>HYPERLINK("https%3A%2F%2Fwww.webofscience.com%2Fwos%2Fwoscc%2Ffull-record%2FWOS:000237799300001","View Full Record in Web of Science")</f>
        <v>View Full Record in Web of Science</v>
      </c>
    </row>
    <row r="392" spans="1:72" x14ac:dyDescent="0.15">
      <c r="A392" t="s">
        <v>72</v>
      </c>
      <c r="B392" t="s">
        <v>6263</v>
      </c>
      <c r="C392" t="s">
        <v>74</v>
      </c>
      <c r="D392" t="s">
        <v>74</v>
      </c>
      <c r="E392" t="s">
        <v>74</v>
      </c>
      <c r="F392" t="s">
        <v>6263</v>
      </c>
      <c r="G392" t="s">
        <v>74</v>
      </c>
      <c r="H392" t="s">
        <v>74</v>
      </c>
      <c r="I392" t="s">
        <v>6264</v>
      </c>
      <c r="J392" t="s">
        <v>6265</v>
      </c>
      <c r="K392" t="s">
        <v>74</v>
      </c>
      <c r="L392" t="s">
        <v>74</v>
      </c>
      <c r="M392" t="s">
        <v>78</v>
      </c>
      <c r="N392" t="s">
        <v>79</v>
      </c>
      <c r="O392" t="s">
        <v>74</v>
      </c>
      <c r="P392" t="s">
        <v>74</v>
      </c>
      <c r="Q392" t="s">
        <v>74</v>
      </c>
      <c r="R392" t="s">
        <v>74</v>
      </c>
      <c r="S392" t="s">
        <v>74</v>
      </c>
      <c r="T392" t="s">
        <v>74</v>
      </c>
      <c r="U392" t="s">
        <v>6266</v>
      </c>
      <c r="V392" t="s">
        <v>6267</v>
      </c>
      <c r="W392" t="s">
        <v>6268</v>
      </c>
      <c r="X392" t="s">
        <v>6269</v>
      </c>
      <c r="Y392" t="s">
        <v>6270</v>
      </c>
      <c r="Z392" t="s">
        <v>74</v>
      </c>
      <c r="AA392" t="s">
        <v>6271</v>
      </c>
      <c r="AB392" t="s">
        <v>6272</v>
      </c>
      <c r="AC392" t="s">
        <v>74</v>
      </c>
      <c r="AD392" t="s">
        <v>74</v>
      </c>
      <c r="AE392" t="s">
        <v>74</v>
      </c>
      <c r="AF392" t="s">
        <v>74</v>
      </c>
      <c r="AG392">
        <v>36</v>
      </c>
      <c r="AH392">
        <v>153</v>
      </c>
      <c r="AI392">
        <v>170</v>
      </c>
      <c r="AJ392">
        <v>2</v>
      </c>
      <c r="AK392">
        <v>8</v>
      </c>
      <c r="AL392" t="s">
        <v>3479</v>
      </c>
      <c r="AM392" t="s">
        <v>3480</v>
      </c>
      <c r="AN392" t="s">
        <v>3481</v>
      </c>
      <c r="AO392" t="s">
        <v>6273</v>
      </c>
      <c r="AP392" t="s">
        <v>6274</v>
      </c>
      <c r="AQ392" t="s">
        <v>74</v>
      </c>
      <c r="AR392" t="s">
        <v>6275</v>
      </c>
      <c r="AS392" t="s">
        <v>6276</v>
      </c>
      <c r="AT392" t="s">
        <v>6277</v>
      </c>
      <c r="AU392">
        <v>2006</v>
      </c>
      <c r="AV392">
        <v>96</v>
      </c>
      <c r="AW392">
        <v>17</v>
      </c>
      <c r="AX392" t="s">
        <v>74</v>
      </c>
      <c r="AY392" t="s">
        <v>74</v>
      </c>
      <c r="AZ392" t="s">
        <v>74</v>
      </c>
      <c r="BA392" t="s">
        <v>74</v>
      </c>
      <c r="BB392" t="s">
        <v>74</v>
      </c>
      <c r="BC392" t="s">
        <v>74</v>
      </c>
      <c r="BD392">
        <v>171101</v>
      </c>
      <c r="BE392" t="s">
        <v>6278</v>
      </c>
      <c r="BF392" t="str">
        <f>HYPERLINK("http://dx.doi.org/10.1103/PhysRevLett.96.171101","http://dx.doi.org/10.1103/PhysRevLett.96.171101")</f>
        <v>http://dx.doi.org/10.1103/PhysRevLett.96.171101</v>
      </c>
      <c r="BG392" t="s">
        <v>74</v>
      </c>
      <c r="BH392" t="s">
        <v>74</v>
      </c>
      <c r="BI392">
        <v>4</v>
      </c>
      <c r="BJ392" t="s">
        <v>6279</v>
      </c>
      <c r="BK392" t="s">
        <v>97</v>
      </c>
      <c r="BL392" t="s">
        <v>2938</v>
      </c>
      <c r="BM392" t="s">
        <v>6280</v>
      </c>
      <c r="BN392">
        <v>16712284</v>
      </c>
      <c r="BO392" t="s">
        <v>147</v>
      </c>
      <c r="BP392" t="s">
        <v>74</v>
      </c>
      <c r="BQ392" t="s">
        <v>74</v>
      </c>
      <c r="BR392" t="s">
        <v>100</v>
      </c>
      <c r="BS392" t="s">
        <v>6281</v>
      </c>
      <c r="BT392" t="str">
        <f>HYPERLINK("https%3A%2F%2Fwww.webofscience.com%2Fwos%2Fwoscc%2Ffull-record%2FWOS:000237321500005","View Full Record in Web of Science")</f>
        <v>View Full Record in Web of Science</v>
      </c>
    </row>
    <row r="393" spans="1:72" x14ac:dyDescent="0.15">
      <c r="A393" t="s">
        <v>72</v>
      </c>
      <c r="B393" t="s">
        <v>6282</v>
      </c>
      <c r="C393" t="s">
        <v>74</v>
      </c>
      <c r="D393" t="s">
        <v>74</v>
      </c>
      <c r="E393" t="s">
        <v>74</v>
      </c>
      <c r="F393" t="s">
        <v>6282</v>
      </c>
      <c r="G393" t="s">
        <v>74</v>
      </c>
      <c r="H393" t="s">
        <v>74</v>
      </c>
      <c r="I393" t="s">
        <v>6283</v>
      </c>
      <c r="J393" t="s">
        <v>4036</v>
      </c>
      <c r="K393" t="s">
        <v>74</v>
      </c>
      <c r="L393" t="s">
        <v>74</v>
      </c>
      <c r="M393" t="s">
        <v>78</v>
      </c>
      <c r="N393" t="s">
        <v>511</v>
      </c>
      <c r="O393" t="s">
        <v>74</v>
      </c>
      <c r="P393" t="s">
        <v>74</v>
      </c>
      <c r="Q393" t="s">
        <v>74</v>
      </c>
      <c r="R393" t="s">
        <v>74</v>
      </c>
      <c r="S393" t="s">
        <v>74</v>
      </c>
      <c r="T393" t="s">
        <v>74</v>
      </c>
      <c r="U393" t="s">
        <v>6284</v>
      </c>
      <c r="V393" t="s">
        <v>6285</v>
      </c>
      <c r="W393" t="s">
        <v>6286</v>
      </c>
      <c r="X393" t="s">
        <v>6287</v>
      </c>
      <c r="Y393" t="s">
        <v>6288</v>
      </c>
      <c r="Z393" t="s">
        <v>6289</v>
      </c>
      <c r="AA393" t="s">
        <v>6290</v>
      </c>
      <c r="AB393" t="s">
        <v>6291</v>
      </c>
      <c r="AC393" t="s">
        <v>74</v>
      </c>
      <c r="AD393" t="s">
        <v>74</v>
      </c>
      <c r="AE393" t="s">
        <v>74</v>
      </c>
      <c r="AF393" t="s">
        <v>74</v>
      </c>
      <c r="AG393">
        <v>80</v>
      </c>
      <c r="AH393">
        <v>213</v>
      </c>
      <c r="AI393">
        <v>249</v>
      </c>
      <c r="AJ393">
        <v>4</v>
      </c>
      <c r="AK393">
        <v>122</v>
      </c>
      <c r="AL393" t="s">
        <v>556</v>
      </c>
      <c r="AM393" t="s">
        <v>557</v>
      </c>
      <c r="AN393" t="s">
        <v>558</v>
      </c>
      <c r="AO393" t="s">
        <v>4045</v>
      </c>
      <c r="AP393" t="s">
        <v>5588</v>
      </c>
      <c r="AQ393" t="s">
        <v>74</v>
      </c>
      <c r="AR393" t="s">
        <v>4036</v>
      </c>
      <c r="AS393" t="s">
        <v>4046</v>
      </c>
      <c r="AT393" t="s">
        <v>6292</v>
      </c>
      <c r="AU393">
        <v>2006</v>
      </c>
      <c r="AV393">
        <v>441</v>
      </c>
      <c r="AW393">
        <v>7089</v>
      </c>
      <c r="AX393" t="s">
        <v>74</v>
      </c>
      <c r="AY393" t="s">
        <v>74</v>
      </c>
      <c r="AZ393" t="s">
        <v>74</v>
      </c>
      <c r="BA393" t="s">
        <v>74</v>
      </c>
      <c r="BB393">
        <v>39</v>
      </c>
      <c r="BC393">
        <v>45</v>
      </c>
      <c r="BD393" t="s">
        <v>74</v>
      </c>
      <c r="BE393" t="s">
        <v>6293</v>
      </c>
      <c r="BF393" t="str">
        <f>HYPERLINK("http://dx.doi.org/10.1038/nature04746","http://dx.doi.org/10.1038/nature04746")</f>
        <v>http://dx.doi.org/10.1038/nature04746</v>
      </c>
      <c r="BG393" t="s">
        <v>74</v>
      </c>
      <c r="BH393" t="s">
        <v>74</v>
      </c>
      <c r="BI393">
        <v>7</v>
      </c>
      <c r="BJ393" t="s">
        <v>1841</v>
      </c>
      <c r="BK393" t="s">
        <v>97</v>
      </c>
      <c r="BL393" t="s">
        <v>1842</v>
      </c>
      <c r="BM393" t="s">
        <v>6294</v>
      </c>
      <c r="BN393">
        <v>16672963</v>
      </c>
      <c r="BO393" t="s">
        <v>74</v>
      </c>
      <c r="BP393" t="s">
        <v>74</v>
      </c>
      <c r="BQ393" t="s">
        <v>74</v>
      </c>
      <c r="BR393" t="s">
        <v>100</v>
      </c>
      <c r="BS393" t="s">
        <v>6295</v>
      </c>
      <c r="BT393" t="str">
        <f>HYPERLINK("https%3A%2F%2Fwww.webofscience.com%2Fwos%2Fwoscc%2Ffull-record%2FWOS:000237248600028","View Full Record in Web of Science")</f>
        <v>View Full Record in Web of Science</v>
      </c>
    </row>
    <row r="394" spans="1:72" x14ac:dyDescent="0.15">
      <c r="A394" t="s">
        <v>72</v>
      </c>
      <c r="B394" t="s">
        <v>6296</v>
      </c>
      <c r="C394" t="s">
        <v>74</v>
      </c>
      <c r="D394" t="s">
        <v>74</v>
      </c>
      <c r="E394" t="s">
        <v>74</v>
      </c>
      <c r="F394" t="s">
        <v>6296</v>
      </c>
      <c r="G394" t="s">
        <v>74</v>
      </c>
      <c r="H394" t="s">
        <v>74</v>
      </c>
      <c r="I394" t="s">
        <v>6297</v>
      </c>
      <c r="J394" t="s">
        <v>1748</v>
      </c>
      <c r="K394" t="s">
        <v>74</v>
      </c>
      <c r="L394" t="s">
        <v>74</v>
      </c>
      <c r="M394" t="s">
        <v>78</v>
      </c>
      <c r="N394" t="s">
        <v>79</v>
      </c>
      <c r="O394" t="s">
        <v>74</v>
      </c>
      <c r="P394" t="s">
        <v>74</v>
      </c>
      <c r="Q394" t="s">
        <v>74</v>
      </c>
      <c r="R394" t="s">
        <v>74</v>
      </c>
      <c r="S394" t="s">
        <v>74</v>
      </c>
      <c r="T394" t="s">
        <v>74</v>
      </c>
      <c r="U394" t="s">
        <v>6298</v>
      </c>
      <c r="V394" t="s">
        <v>6299</v>
      </c>
      <c r="W394" t="s">
        <v>6300</v>
      </c>
      <c r="X394" t="s">
        <v>6301</v>
      </c>
      <c r="Y394" t="s">
        <v>6302</v>
      </c>
      <c r="Z394" t="s">
        <v>6303</v>
      </c>
      <c r="AA394" t="s">
        <v>6304</v>
      </c>
      <c r="AB394" t="s">
        <v>6305</v>
      </c>
      <c r="AC394" t="s">
        <v>2283</v>
      </c>
      <c r="AD394" t="s">
        <v>413</v>
      </c>
      <c r="AE394" t="s">
        <v>74</v>
      </c>
      <c r="AF394" t="s">
        <v>74</v>
      </c>
      <c r="AG394">
        <v>27</v>
      </c>
      <c r="AH394">
        <v>130</v>
      </c>
      <c r="AI394">
        <v>148</v>
      </c>
      <c r="AJ394">
        <v>0</v>
      </c>
      <c r="AK394">
        <v>15</v>
      </c>
      <c r="AL394" t="s">
        <v>1757</v>
      </c>
      <c r="AM394" t="s">
        <v>88</v>
      </c>
      <c r="AN394" t="s">
        <v>1758</v>
      </c>
      <c r="AO394" t="s">
        <v>1759</v>
      </c>
      <c r="AP394" t="s">
        <v>1760</v>
      </c>
      <c r="AQ394" t="s">
        <v>74</v>
      </c>
      <c r="AR394" t="s">
        <v>1761</v>
      </c>
      <c r="AS394" t="s">
        <v>1762</v>
      </c>
      <c r="AT394" t="s">
        <v>6306</v>
      </c>
      <c r="AU394">
        <v>2006</v>
      </c>
      <c r="AV394">
        <v>33</v>
      </c>
      <c r="AW394">
        <v>9</v>
      </c>
      <c r="AX394" t="s">
        <v>74</v>
      </c>
      <c r="AY394" t="s">
        <v>74</v>
      </c>
      <c r="AZ394" t="s">
        <v>74</v>
      </c>
      <c r="BA394" t="s">
        <v>74</v>
      </c>
      <c r="BB394" t="s">
        <v>74</v>
      </c>
      <c r="BC394" t="s">
        <v>74</v>
      </c>
      <c r="BD394" t="s">
        <v>6307</v>
      </c>
      <c r="BE394" t="s">
        <v>6308</v>
      </c>
      <c r="BF394" t="str">
        <f>HYPERLINK("http://dx.doi.org/10.1029/2005GL025561","http://dx.doi.org/10.1029/2005GL025561")</f>
        <v>http://dx.doi.org/10.1029/2005GL025561</v>
      </c>
      <c r="BG394" t="s">
        <v>74</v>
      </c>
      <c r="BH394" t="s">
        <v>74</v>
      </c>
      <c r="BI394">
        <v>4</v>
      </c>
      <c r="BJ394" t="s">
        <v>527</v>
      </c>
      <c r="BK394" t="s">
        <v>97</v>
      </c>
      <c r="BL394" t="s">
        <v>528</v>
      </c>
      <c r="BM394" t="s">
        <v>6309</v>
      </c>
      <c r="BN394" t="s">
        <v>74</v>
      </c>
      <c r="BO394" t="s">
        <v>460</v>
      </c>
      <c r="BP394" t="s">
        <v>74</v>
      </c>
      <c r="BQ394" t="s">
        <v>74</v>
      </c>
      <c r="BR394" t="s">
        <v>100</v>
      </c>
      <c r="BS394" t="s">
        <v>6310</v>
      </c>
      <c r="BT394" t="str">
        <f>HYPERLINK("https%3A%2F%2Fwww.webofscience.com%2Fwos%2Fwoscc%2Ffull-record%2FWOS:000237446200001","View Full Record in Web of Science")</f>
        <v>View Full Record in Web of Science</v>
      </c>
    </row>
    <row r="395" spans="1:72" x14ac:dyDescent="0.15">
      <c r="A395" t="s">
        <v>72</v>
      </c>
      <c r="B395" t="s">
        <v>6311</v>
      </c>
      <c r="C395" t="s">
        <v>74</v>
      </c>
      <c r="D395" t="s">
        <v>74</v>
      </c>
      <c r="E395" t="s">
        <v>74</v>
      </c>
      <c r="F395" t="s">
        <v>6311</v>
      </c>
      <c r="G395" t="s">
        <v>74</v>
      </c>
      <c r="H395" t="s">
        <v>74</v>
      </c>
      <c r="I395" t="s">
        <v>6312</v>
      </c>
      <c r="J395" t="s">
        <v>1748</v>
      </c>
      <c r="K395" t="s">
        <v>74</v>
      </c>
      <c r="L395" t="s">
        <v>74</v>
      </c>
      <c r="M395" t="s">
        <v>78</v>
      </c>
      <c r="N395" t="s">
        <v>79</v>
      </c>
      <c r="O395" t="s">
        <v>74</v>
      </c>
      <c r="P395" t="s">
        <v>74</v>
      </c>
      <c r="Q395" t="s">
        <v>74</v>
      </c>
      <c r="R395" t="s">
        <v>74</v>
      </c>
      <c r="S395" t="s">
        <v>74</v>
      </c>
      <c r="T395" t="s">
        <v>74</v>
      </c>
      <c r="U395" t="s">
        <v>74</v>
      </c>
      <c r="V395" t="s">
        <v>6313</v>
      </c>
      <c r="W395" t="s">
        <v>6314</v>
      </c>
      <c r="X395" t="s">
        <v>6315</v>
      </c>
      <c r="Y395" t="s">
        <v>6316</v>
      </c>
      <c r="Z395" t="s">
        <v>6317</v>
      </c>
      <c r="AA395" t="s">
        <v>6318</v>
      </c>
      <c r="AB395" t="s">
        <v>6319</v>
      </c>
      <c r="AC395" t="s">
        <v>2337</v>
      </c>
      <c r="AD395" t="s">
        <v>1328</v>
      </c>
      <c r="AE395" t="s">
        <v>74</v>
      </c>
      <c r="AF395" t="s">
        <v>74</v>
      </c>
      <c r="AG395">
        <v>16</v>
      </c>
      <c r="AH395">
        <v>142</v>
      </c>
      <c r="AI395">
        <v>152</v>
      </c>
      <c r="AJ395">
        <v>0</v>
      </c>
      <c r="AK395">
        <v>11</v>
      </c>
      <c r="AL395" t="s">
        <v>1757</v>
      </c>
      <c r="AM395" t="s">
        <v>88</v>
      </c>
      <c r="AN395" t="s">
        <v>1758</v>
      </c>
      <c r="AO395" t="s">
        <v>1759</v>
      </c>
      <c r="AP395" t="s">
        <v>1760</v>
      </c>
      <c r="AQ395" t="s">
        <v>74</v>
      </c>
      <c r="AR395" t="s">
        <v>1761</v>
      </c>
      <c r="AS395" t="s">
        <v>1762</v>
      </c>
      <c r="AT395" t="s">
        <v>6306</v>
      </c>
      <c r="AU395">
        <v>2006</v>
      </c>
      <c r="AV395">
        <v>33</v>
      </c>
      <c r="AW395">
        <v>9</v>
      </c>
      <c r="AX395" t="s">
        <v>74</v>
      </c>
      <c r="AY395" t="s">
        <v>74</v>
      </c>
      <c r="AZ395" t="s">
        <v>74</v>
      </c>
      <c r="BA395" t="s">
        <v>74</v>
      </c>
      <c r="BB395" t="s">
        <v>74</v>
      </c>
      <c r="BC395" t="s">
        <v>74</v>
      </c>
      <c r="BD395" t="s">
        <v>6320</v>
      </c>
      <c r="BE395" t="s">
        <v>6321</v>
      </c>
      <c r="BF395" t="str">
        <f>HYPERLINK("http://dx.doi.org/10.1029/2005GL025588","http://dx.doi.org/10.1029/2005GL025588")</f>
        <v>http://dx.doi.org/10.1029/2005GL025588</v>
      </c>
      <c r="BG395" t="s">
        <v>74</v>
      </c>
      <c r="BH395" t="s">
        <v>74</v>
      </c>
      <c r="BI395">
        <v>4</v>
      </c>
      <c r="BJ395" t="s">
        <v>527</v>
      </c>
      <c r="BK395" t="s">
        <v>97</v>
      </c>
      <c r="BL395" t="s">
        <v>528</v>
      </c>
      <c r="BM395" t="s">
        <v>6309</v>
      </c>
      <c r="BN395" t="s">
        <v>74</v>
      </c>
      <c r="BO395" t="s">
        <v>2100</v>
      </c>
      <c r="BP395" t="s">
        <v>74</v>
      </c>
      <c r="BQ395" t="s">
        <v>74</v>
      </c>
      <c r="BR395" t="s">
        <v>100</v>
      </c>
      <c r="BS395" t="s">
        <v>6322</v>
      </c>
      <c r="BT395" t="str">
        <f>HYPERLINK("https%3A%2F%2Fwww.webofscience.com%2Fwos%2Fwoscc%2Ffull-record%2FWOS:000237446200002","View Full Record in Web of Science")</f>
        <v>View Full Record in Web of Science</v>
      </c>
    </row>
    <row r="396" spans="1:72" x14ac:dyDescent="0.15">
      <c r="A396" t="s">
        <v>72</v>
      </c>
      <c r="B396" t="s">
        <v>6323</v>
      </c>
      <c r="C396" t="s">
        <v>74</v>
      </c>
      <c r="D396" t="s">
        <v>74</v>
      </c>
      <c r="E396" t="s">
        <v>74</v>
      </c>
      <c r="F396" t="s">
        <v>6323</v>
      </c>
      <c r="G396" t="s">
        <v>74</v>
      </c>
      <c r="H396" t="s">
        <v>74</v>
      </c>
      <c r="I396" t="s">
        <v>6324</v>
      </c>
      <c r="J396" t="s">
        <v>1772</v>
      </c>
      <c r="K396" t="s">
        <v>74</v>
      </c>
      <c r="L396" t="s">
        <v>74</v>
      </c>
      <c r="M396" t="s">
        <v>78</v>
      </c>
      <c r="N396" t="s">
        <v>79</v>
      </c>
      <c r="O396" t="s">
        <v>74</v>
      </c>
      <c r="P396" t="s">
        <v>74</v>
      </c>
      <c r="Q396" t="s">
        <v>74</v>
      </c>
      <c r="R396" t="s">
        <v>74</v>
      </c>
      <c r="S396" t="s">
        <v>74</v>
      </c>
      <c r="T396" t="s">
        <v>74</v>
      </c>
      <c r="U396" t="s">
        <v>6325</v>
      </c>
      <c r="V396" t="s">
        <v>6326</v>
      </c>
      <c r="W396" t="s">
        <v>6327</v>
      </c>
      <c r="X396" t="s">
        <v>6328</v>
      </c>
      <c r="Y396" t="s">
        <v>6329</v>
      </c>
      <c r="Z396" t="s">
        <v>6330</v>
      </c>
      <c r="AA396" t="s">
        <v>6331</v>
      </c>
      <c r="AB396" t="s">
        <v>6332</v>
      </c>
      <c r="AC396" t="s">
        <v>74</v>
      </c>
      <c r="AD396" t="s">
        <v>74</v>
      </c>
      <c r="AE396" t="s">
        <v>74</v>
      </c>
      <c r="AF396" t="s">
        <v>74</v>
      </c>
      <c r="AG396">
        <v>39</v>
      </c>
      <c r="AH396">
        <v>22</v>
      </c>
      <c r="AI396">
        <v>22</v>
      </c>
      <c r="AJ396">
        <v>0</v>
      </c>
      <c r="AK396">
        <v>5</v>
      </c>
      <c r="AL396" t="s">
        <v>1757</v>
      </c>
      <c r="AM396" t="s">
        <v>88</v>
      </c>
      <c r="AN396" t="s">
        <v>1758</v>
      </c>
      <c r="AO396" t="s">
        <v>1779</v>
      </c>
      <c r="AP396" t="s">
        <v>1780</v>
      </c>
      <c r="AQ396" t="s">
        <v>74</v>
      </c>
      <c r="AR396" t="s">
        <v>1781</v>
      </c>
      <c r="AS396" t="s">
        <v>1782</v>
      </c>
      <c r="AT396" t="s">
        <v>6306</v>
      </c>
      <c r="AU396">
        <v>2006</v>
      </c>
      <c r="AV396">
        <v>111</v>
      </c>
      <c r="AW396" t="s">
        <v>4198</v>
      </c>
      <c r="AX396" t="s">
        <v>74</v>
      </c>
      <c r="AY396" t="s">
        <v>74</v>
      </c>
      <c r="AZ396" t="s">
        <v>74</v>
      </c>
      <c r="BA396" t="s">
        <v>74</v>
      </c>
      <c r="BB396" t="s">
        <v>74</v>
      </c>
      <c r="BC396" t="s">
        <v>74</v>
      </c>
      <c r="BD396" t="s">
        <v>6333</v>
      </c>
      <c r="BE396" t="s">
        <v>6334</v>
      </c>
      <c r="BF396" t="str">
        <f>HYPERLINK("http://dx.doi.org/10.1029/2005JD006260","http://dx.doi.org/10.1029/2005JD006260")</f>
        <v>http://dx.doi.org/10.1029/2005JD006260</v>
      </c>
      <c r="BG396" t="s">
        <v>74</v>
      </c>
      <c r="BH396" t="s">
        <v>74</v>
      </c>
      <c r="BI396">
        <v>14</v>
      </c>
      <c r="BJ396" t="s">
        <v>869</v>
      </c>
      <c r="BK396" t="s">
        <v>97</v>
      </c>
      <c r="BL396" t="s">
        <v>869</v>
      </c>
      <c r="BM396" t="s">
        <v>6335</v>
      </c>
      <c r="BN396" t="s">
        <v>74</v>
      </c>
      <c r="BO396" t="s">
        <v>74</v>
      </c>
      <c r="BP396" t="s">
        <v>74</v>
      </c>
      <c r="BQ396" t="s">
        <v>74</v>
      </c>
      <c r="BR396" t="s">
        <v>100</v>
      </c>
      <c r="BS396" t="s">
        <v>6336</v>
      </c>
      <c r="BT396" t="str">
        <f>HYPERLINK("https%3A%2F%2Fwww.webofscience.com%2Fwos%2Fwoscc%2Ffull-record%2FWOS:000237447400001","View Full Record in Web of Science")</f>
        <v>View Full Record in Web of Science</v>
      </c>
    </row>
    <row r="397" spans="1:72" x14ac:dyDescent="0.15">
      <c r="A397" t="s">
        <v>72</v>
      </c>
      <c r="B397" t="s">
        <v>6337</v>
      </c>
      <c r="C397" t="s">
        <v>74</v>
      </c>
      <c r="D397" t="s">
        <v>74</v>
      </c>
      <c r="E397" t="s">
        <v>74</v>
      </c>
      <c r="F397" t="s">
        <v>6337</v>
      </c>
      <c r="G397" t="s">
        <v>74</v>
      </c>
      <c r="H397" t="s">
        <v>74</v>
      </c>
      <c r="I397" t="s">
        <v>6338</v>
      </c>
      <c r="J397" t="s">
        <v>6339</v>
      </c>
      <c r="K397" t="s">
        <v>74</v>
      </c>
      <c r="L397" t="s">
        <v>74</v>
      </c>
      <c r="M397" t="s">
        <v>78</v>
      </c>
      <c r="N397" t="s">
        <v>79</v>
      </c>
      <c r="O397" t="s">
        <v>74</v>
      </c>
      <c r="P397" t="s">
        <v>74</v>
      </c>
      <c r="Q397" t="s">
        <v>74</v>
      </c>
      <c r="R397" t="s">
        <v>74</v>
      </c>
      <c r="S397" t="s">
        <v>74</v>
      </c>
      <c r="T397" t="s">
        <v>74</v>
      </c>
      <c r="U397" t="s">
        <v>74</v>
      </c>
      <c r="V397" t="s">
        <v>74</v>
      </c>
      <c r="W397" t="s">
        <v>6340</v>
      </c>
      <c r="X397" t="s">
        <v>6341</v>
      </c>
      <c r="Y397" t="s">
        <v>6342</v>
      </c>
      <c r="Z397" t="s">
        <v>6343</v>
      </c>
      <c r="AA397" t="s">
        <v>5680</v>
      </c>
      <c r="AB397" t="s">
        <v>6344</v>
      </c>
      <c r="AC397" t="s">
        <v>74</v>
      </c>
      <c r="AD397" t="s">
        <v>74</v>
      </c>
      <c r="AE397" t="s">
        <v>74</v>
      </c>
      <c r="AF397" t="s">
        <v>74</v>
      </c>
      <c r="AG397">
        <v>6</v>
      </c>
      <c r="AH397">
        <v>136</v>
      </c>
      <c r="AI397">
        <v>169</v>
      </c>
      <c r="AJ397">
        <v>2</v>
      </c>
      <c r="AK397">
        <v>25</v>
      </c>
      <c r="AL397" t="s">
        <v>6146</v>
      </c>
      <c r="AM397" t="s">
        <v>88</v>
      </c>
      <c r="AN397" t="s">
        <v>6147</v>
      </c>
      <c r="AO397" t="s">
        <v>6345</v>
      </c>
      <c r="AP397" t="s">
        <v>6346</v>
      </c>
      <c r="AQ397" t="s">
        <v>74</v>
      </c>
      <c r="AR397" t="s">
        <v>6347</v>
      </c>
      <c r="AS397" t="s">
        <v>6348</v>
      </c>
      <c r="AT397" t="s">
        <v>6306</v>
      </c>
      <c r="AU397">
        <v>2006</v>
      </c>
      <c r="AV397">
        <v>128</v>
      </c>
      <c r="AW397">
        <v>17</v>
      </c>
      <c r="AX397" t="s">
        <v>74</v>
      </c>
      <c r="AY397" t="s">
        <v>74</v>
      </c>
      <c r="AZ397" t="s">
        <v>74</v>
      </c>
      <c r="BA397" t="s">
        <v>74</v>
      </c>
      <c r="BB397">
        <v>5630</v>
      </c>
      <c r="BC397">
        <v>5631</v>
      </c>
      <c r="BD397" t="s">
        <v>74</v>
      </c>
      <c r="BE397" t="s">
        <v>6349</v>
      </c>
      <c r="BF397" t="str">
        <f>HYPERLINK("http://dx.doi.org/10.1021/ja0588508","http://dx.doi.org/10.1021/ja0588508")</f>
        <v>http://dx.doi.org/10.1021/ja0588508</v>
      </c>
      <c r="BG397" t="s">
        <v>74</v>
      </c>
      <c r="BH397" t="s">
        <v>74</v>
      </c>
      <c r="BI397">
        <v>2</v>
      </c>
      <c r="BJ397" t="s">
        <v>6350</v>
      </c>
      <c r="BK397" t="s">
        <v>6351</v>
      </c>
      <c r="BL397" t="s">
        <v>6352</v>
      </c>
      <c r="BM397" t="s">
        <v>6353</v>
      </c>
      <c r="BN397">
        <v>16637618</v>
      </c>
      <c r="BO397" t="s">
        <v>74</v>
      </c>
      <c r="BP397" t="s">
        <v>74</v>
      </c>
      <c r="BQ397" t="s">
        <v>74</v>
      </c>
      <c r="BR397" t="s">
        <v>100</v>
      </c>
      <c r="BS397" t="s">
        <v>6354</v>
      </c>
      <c r="BT397" t="str">
        <f>HYPERLINK("https%3A%2F%2Fwww.webofscience.com%2Fwos%2Fwoscc%2Ffull-record%2FWOS:000237389900021","View Full Record in Web of Science")</f>
        <v>View Full Record in Web of Science</v>
      </c>
    </row>
    <row r="398" spans="1:72" x14ac:dyDescent="0.15">
      <c r="A398" t="s">
        <v>72</v>
      </c>
      <c r="B398" t="s">
        <v>6355</v>
      </c>
      <c r="C398" t="s">
        <v>74</v>
      </c>
      <c r="D398" t="s">
        <v>74</v>
      </c>
      <c r="E398" t="s">
        <v>74</v>
      </c>
      <c r="F398" t="s">
        <v>6355</v>
      </c>
      <c r="G398" t="s">
        <v>74</v>
      </c>
      <c r="H398" t="s">
        <v>74</v>
      </c>
      <c r="I398" t="s">
        <v>6356</v>
      </c>
      <c r="J398" t="s">
        <v>6357</v>
      </c>
      <c r="K398" t="s">
        <v>74</v>
      </c>
      <c r="L398" t="s">
        <v>74</v>
      </c>
      <c r="M398" t="s">
        <v>78</v>
      </c>
      <c r="N398" t="s">
        <v>79</v>
      </c>
      <c r="O398" t="s">
        <v>74</v>
      </c>
      <c r="P398" t="s">
        <v>74</v>
      </c>
      <c r="Q398" t="s">
        <v>74</v>
      </c>
      <c r="R398" t="s">
        <v>74</v>
      </c>
      <c r="S398" t="s">
        <v>74</v>
      </c>
      <c r="T398" t="s">
        <v>6358</v>
      </c>
      <c r="U398" t="s">
        <v>6359</v>
      </c>
      <c r="V398" t="s">
        <v>6360</v>
      </c>
      <c r="W398" t="s">
        <v>6361</v>
      </c>
      <c r="X398" t="s">
        <v>6362</v>
      </c>
      <c r="Y398" t="s">
        <v>6363</v>
      </c>
      <c r="Z398" t="s">
        <v>6364</v>
      </c>
      <c r="AA398" t="s">
        <v>6365</v>
      </c>
      <c r="AB398" t="s">
        <v>74</v>
      </c>
      <c r="AC398" t="s">
        <v>74</v>
      </c>
      <c r="AD398" t="s">
        <v>74</v>
      </c>
      <c r="AE398" t="s">
        <v>74</v>
      </c>
      <c r="AF398" t="s">
        <v>74</v>
      </c>
      <c r="AG398">
        <v>44</v>
      </c>
      <c r="AH398">
        <v>33</v>
      </c>
      <c r="AI398">
        <v>33</v>
      </c>
      <c r="AJ398">
        <v>0</v>
      </c>
      <c r="AK398">
        <v>23</v>
      </c>
      <c r="AL398" t="s">
        <v>6366</v>
      </c>
      <c r="AM398" t="s">
        <v>6367</v>
      </c>
      <c r="AN398" t="s">
        <v>6368</v>
      </c>
      <c r="AO398" t="s">
        <v>6369</v>
      </c>
      <c r="AP398" t="s">
        <v>74</v>
      </c>
      <c r="AQ398" t="s">
        <v>74</v>
      </c>
      <c r="AR398" t="s">
        <v>6370</v>
      </c>
      <c r="AS398" t="s">
        <v>6371</v>
      </c>
      <c r="AT398" t="s">
        <v>6372</v>
      </c>
      <c r="AU398">
        <v>2006</v>
      </c>
      <c r="AV398">
        <v>91</v>
      </c>
      <c r="AW398" t="s">
        <v>6373</v>
      </c>
      <c r="AX398" t="s">
        <v>74</v>
      </c>
      <c r="AY398" t="s">
        <v>74</v>
      </c>
      <c r="AZ398" t="s">
        <v>74</v>
      </c>
      <c r="BA398" t="s">
        <v>74</v>
      </c>
      <c r="BB398">
        <v>772</v>
      </c>
      <c r="BC398">
        <v>783</v>
      </c>
      <c r="BD398" t="s">
        <v>74</v>
      </c>
      <c r="BE398" t="s">
        <v>74</v>
      </c>
      <c r="BF398" t="s">
        <v>74</v>
      </c>
      <c r="BG398" t="s">
        <v>74</v>
      </c>
      <c r="BH398" t="s">
        <v>74</v>
      </c>
      <c r="BI398">
        <v>12</v>
      </c>
      <c r="BJ398" t="s">
        <v>4919</v>
      </c>
      <c r="BK398" t="s">
        <v>97</v>
      </c>
      <c r="BL398" t="s">
        <v>4919</v>
      </c>
      <c r="BM398" t="s">
        <v>6374</v>
      </c>
      <c r="BN398" t="s">
        <v>74</v>
      </c>
      <c r="BO398" t="s">
        <v>74</v>
      </c>
      <c r="BP398" t="s">
        <v>74</v>
      </c>
      <c r="BQ398" t="s">
        <v>74</v>
      </c>
      <c r="BR398" t="s">
        <v>100</v>
      </c>
      <c r="BS398" t="s">
        <v>6375</v>
      </c>
      <c r="BT398" t="str">
        <f>HYPERLINK("https%3A%2F%2Fwww.webofscience.com%2Fwos%2Fwoscc%2Ffull-record%2FWOS:000237813500007","View Full Record in Web of Science")</f>
        <v>View Full Record in Web of Science</v>
      </c>
    </row>
    <row r="399" spans="1:72" x14ac:dyDescent="0.15">
      <c r="A399" t="s">
        <v>72</v>
      </c>
      <c r="B399" t="s">
        <v>6376</v>
      </c>
      <c r="C399" t="s">
        <v>74</v>
      </c>
      <c r="D399" t="s">
        <v>74</v>
      </c>
      <c r="E399" t="s">
        <v>74</v>
      </c>
      <c r="F399" t="s">
        <v>6376</v>
      </c>
      <c r="G399" t="s">
        <v>74</v>
      </c>
      <c r="H399" t="s">
        <v>74</v>
      </c>
      <c r="I399" t="s">
        <v>6377</v>
      </c>
      <c r="J399" t="s">
        <v>6378</v>
      </c>
      <c r="K399" t="s">
        <v>74</v>
      </c>
      <c r="L399" t="s">
        <v>74</v>
      </c>
      <c r="M399" t="s">
        <v>78</v>
      </c>
      <c r="N399" t="s">
        <v>79</v>
      </c>
      <c r="O399" t="s">
        <v>74</v>
      </c>
      <c r="P399" t="s">
        <v>74</v>
      </c>
      <c r="Q399" t="s">
        <v>74</v>
      </c>
      <c r="R399" t="s">
        <v>74</v>
      </c>
      <c r="S399" t="s">
        <v>74</v>
      </c>
      <c r="T399" t="s">
        <v>6379</v>
      </c>
      <c r="U399" t="s">
        <v>6380</v>
      </c>
      <c r="V399" t="s">
        <v>6381</v>
      </c>
      <c r="W399" t="s">
        <v>6382</v>
      </c>
      <c r="X399" t="s">
        <v>6383</v>
      </c>
      <c r="Y399" t="s">
        <v>6384</v>
      </c>
      <c r="Z399" t="s">
        <v>6385</v>
      </c>
      <c r="AA399" t="s">
        <v>6386</v>
      </c>
      <c r="AB399" t="s">
        <v>6387</v>
      </c>
      <c r="AC399" t="s">
        <v>74</v>
      </c>
      <c r="AD399" t="s">
        <v>74</v>
      </c>
      <c r="AE399" t="s">
        <v>74</v>
      </c>
      <c r="AF399" t="s">
        <v>74</v>
      </c>
      <c r="AG399">
        <v>41</v>
      </c>
      <c r="AH399">
        <v>27</v>
      </c>
      <c r="AI399">
        <v>32</v>
      </c>
      <c r="AJ399">
        <v>1</v>
      </c>
      <c r="AK399">
        <v>37</v>
      </c>
      <c r="AL399" t="s">
        <v>1009</v>
      </c>
      <c r="AM399" t="s">
        <v>1010</v>
      </c>
      <c r="AN399" t="s">
        <v>1011</v>
      </c>
      <c r="AO399" t="s">
        <v>6388</v>
      </c>
      <c r="AP399" t="s">
        <v>6389</v>
      </c>
      <c r="AQ399" t="s">
        <v>74</v>
      </c>
      <c r="AR399" t="s">
        <v>6390</v>
      </c>
      <c r="AS399" t="s">
        <v>6391</v>
      </c>
      <c r="AT399" t="s">
        <v>6392</v>
      </c>
      <c r="AU399">
        <v>2006</v>
      </c>
      <c r="AV399">
        <v>385</v>
      </c>
      <c r="AW399">
        <v>1</v>
      </c>
      <c r="AX399" t="s">
        <v>74</v>
      </c>
      <c r="AY399" t="s">
        <v>74</v>
      </c>
      <c r="AZ399" t="s">
        <v>74</v>
      </c>
      <c r="BA399" t="s">
        <v>74</v>
      </c>
      <c r="BB399">
        <v>57</v>
      </c>
      <c r="BC399">
        <v>66</v>
      </c>
      <c r="BD399" t="s">
        <v>74</v>
      </c>
      <c r="BE399" t="s">
        <v>6393</v>
      </c>
      <c r="BF399" t="str">
        <f>HYPERLINK("http://dx.doi.org/10.1007/s00216-006-0333-5","http://dx.doi.org/10.1007/s00216-006-0333-5")</f>
        <v>http://dx.doi.org/10.1007/s00216-006-0333-5</v>
      </c>
      <c r="BG399" t="s">
        <v>74</v>
      </c>
      <c r="BH399" t="s">
        <v>74</v>
      </c>
      <c r="BI399">
        <v>10</v>
      </c>
      <c r="BJ399" t="s">
        <v>6394</v>
      </c>
      <c r="BK399" t="s">
        <v>97</v>
      </c>
      <c r="BL399" t="s">
        <v>6395</v>
      </c>
      <c r="BM399" t="s">
        <v>6396</v>
      </c>
      <c r="BN399">
        <v>16544130</v>
      </c>
      <c r="BO399" t="s">
        <v>147</v>
      </c>
      <c r="BP399" t="s">
        <v>74</v>
      </c>
      <c r="BQ399" t="s">
        <v>74</v>
      </c>
      <c r="BR399" t="s">
        <v>100</v>
      </c>
      <c r="BS399" t="s">
        <v>6397</v>
      </c>
      <c r="BT399" t="str">
        <f>HYPERLINK("https%3A%2F%2Fwww.webofscience.com%2Fwos%2Fwoscc%2Ffull-record%2FWOS:000236972000010","View Full Record in Web of Science")</f>
        <v>View Full Record in Web of Science</v>
      </c>
    </row>
    <row r="400" spans="1:72" x14ac:dyDescent="0.15">
      <c r="A400" t="s">
        <v>72</v>
      </c>
      <c r="B400" t="s">
        <v>6398</v>
      </c>
      <c r="C400" t="s">
        <v>74</v>
      </c>
      <c r="D400" t="s">
        <v>74</v>
      </c>
      <c r="E400" t="s">
        <v>74</v>
      </c>
      <c r="F400" t="s">
        <v>6399</v>
      </c>
      <c r="G400" t="s">
        <v>74</v>
      </c>
      <c r="H400" t="s">
        <v>74</v>
      </c>
      <c r="I400" t="s">
        <v>6400</v>
      </c>
      <c r="J400" t="s">
        <v>6401</v>
      </c>
      <c r="K400" t="s">
        <v>74</v>
      </c>
      <c r="L400" t="s">
        <v>74</v>
      </c>
      <c r="M400" t="s">
        <v>78</v>
      </c>
      <c r="N400" t="s">
        <v>79</v>
      </c>
      <c r="O400" t="s">
        <v>74</v>
      </c>
      <c r="P400" t="s">
        <v>74</v>
      </c>
      <c r="Q400" t="s">
        <v>74</v>
      </c>
      <c r="R400" t="s">
        <v>74</v>
      </c>
      <c r="S400" t="s">
        <v>74</v>
      </c>
      <c r="T400" t="s">
        <v>74</v>
      </c>
      <c r="U400" t="s">
        <v>6402</v>
      </c>
      <c r="V400" t="s">
        <v>6403</v>
      </c>
      <c r="W400" t="s">
        <v>6404</v>
      </c>
      <c r="X400" t="s">
        <v>6405</v>
      </c>
      <c r="Y400" t="s">
        <v>6406</v>
      </c>
      <c r="Z400" t="s">
        <v>6407</v>
      </c>
      <c r="AA400" t="s">
        <v>6408</v>
      </c>
      <c r="AB400" t="s">
        <v>6409</v>
      </c>
      <c r="AC400" t="s">
        <v>74</v>
      </c>
      <c r="AD400" t="s">
        <v>74</v>
      </c>
      <c r="AE400" t="s">
        <v>74</v>
      </c>
      <c r="AF400" t="s">
        <v>74</v>
      </c>
      <c r="AG400">
        <v>45</v>
      </c>
      <c r="AH400">
        <v>20</v>
      </c>
      <c r="AI400">
        <v>21</v>
      </c>
      <c r="AJ400">
        <v>0</v>
      </c>
      <c r="AK400">
        <v>12</v>
      </c>
      <c r="AL400" t="s">
        <v>6023</v>
      </c>
      <c r="AM400" t="s">
        <v>557</v>
      </c>
      <c r="AN400" t="s">
        <v>5182</v>
      </c>
      <c r="AO400" t="s">
        <v>6410</v>
      </c>
      <c r="AP400" t="s">
        <v>6411</v>
      </c>
      <c r="AQ400" t="s">
        <v>74</v>
      </c>
      <c r="AR400" t="s">
        <v>6412</v>
      </c>
      <c r="AS400" t="s">
        <v>6413</v>
      </c>
      <c r="AT400" t="s">
        <v>6392</v>
      </c>
      <c r="AU400">
        <v>2006</v>
      </c>
      <c r="AV400">
        <v>71</v>
      </c>
      <c r="AW400" t="s">
        <v>74</v>
      </c>
      <c r="AX400">
        <v>5</v>
      </c>
      <c r="AY400" t="s">
        <v>74</v>
      </c>
      <c r="AZ400" t="s">
        <v>74</v>
      </c>
      <c r="BA400" t="s">
        <v>74</v>
      </c>
      <c r="BB400">
        <v>1057</v>
      </c>
      <c r="BC400">
        <v>1068</v>
      </c>
      <c r="BD400" t="s">
        <v>74</v>
      </c>
      <c r="BE400" t="s">
        <v>6414</v>
      </c>
      <c r="BF400" t="str">
        <f>HYPERLINK("http://dx.doi.org/10.1016/j.anbehav.2005.07.021","http://dx.doi.org/10.1016/j.anbehav.2005.07.021")</f>
        <v>http://dx.doi.org/10.1016/j.anbehav.2005.07.021</v>
      </c>
      <c r="BG400" t="s">
        <v>74</v>
      </c>
      <c r="BH400" t="s">
        <v>74</v>
      </c>
      <c r="BI400">
        <v>12</v>
      </c>
      <c r="BJ400" t="s">
        <v>6415</v>
      </c>
      <c r="BK400" t="s">
        <v>97</v>
      </c>
      <c r="BL400" t="s">
        <v>6415</v>
      </c>
      <c r="BM400" t="s">
        <v>6416</v>
      </c>
      <c r="BN400" t="s">
        <v>74</v>
      </c>
      <c r="BO400" t="s">
        <v>74</v>
      </c>
      <c r="BP400" t="s">
        <v>74</v>
      </c>
      <c r="BQ400" t="s">
        <v>74</v>
      </c>
      <c r="BR400" t="s">
        <v>100</v>
      </c>
      <c r="BS400" t="s">
        <v>6417</v>
      </c>
      <c r="BT400" t="str">
        <f>HYPERLINK("https%3A%2F%2Fwww.webofscience.com%2Fwos%2Fwoscc%2Ffull-record%2FWOS:000238108600007","View Full Record in Web of Science")</f>
        <v>View Full Record in Web of Science</v>
      </c>
    </row>
    <row r="401" spans="1:72" x14ac:dyDescent="0.15">
      <c r="A401" t="s">
        <v>72</v>
      </c>
      <c r="B401" t="s">
        <v>6418</v>
      </c>
      <c r="C401" t="s">
        <v>74</v>
      </c>
      <c r="D401" t="s">
        <v>74</v>
      </c>
      <c r="E401" t="s">
        <v>74</v>
      </c>
      <c r="F401" t="s">
        <v>6419</v>
      </c>
      <c r="G401" t="s">
        <v>74</v>
      </c>
      <c r="H401" t="s">
        <v>74</v>
      </c>
      <c r="I401" t="s">
        <v>6420</v>
      </c>
      <c r="J401" t="s">
        <v>129</v>
      </c>
      <c r="K401" t="s">
        <v>74</v>
      </c>
      <c r="L401" t="s">
        <v>74</v>
      </c>
      <c r="M401" t="s">
        <v>78</v>
      </c>
      <c r="N401" t="s">
        <v>79</v>
      </c>
      <c r="O401" t="s">
        <v>74</v>
      </c>
      <c r="P401" t="s">
        <v>74</v>
      </c>
      <c r="Q401" t="s">
        <v>74</v>
      </c>
      <c r="R401" t="s">
        <v>74</v>
      </c>
      <c r="S401" t="s">
        <v>74</v>
      </c>
      <c r="T401" t="s">
        <v>74</v>
      </c>
      <c r="U401" t="s">
        <v>6421</v>
      </c>
      <c r="V401" t="s">
        <v>6422</v>
      </c>
      <c r="W401" t="s">
        <v>6423</v>
      </c>
      <c r="X401" t="s">
        <v>6424</v>
      </c>
      <c r="Y401" t="s">
        <v>6425</v>
      </c>
      <c r="Z401" t="s">
        <v>6426</v>
      </c>
      <c r="AA401" t="s">
        <v>74</v>
      </c>
      <c r="AB401" t="s">
        <v>6427</v>
      </c>
      <c r="AC401" t="s">
        <v>74</v>
      </c>
      <c r="AD401" t="s">
        <v>74</v>
      </c>
      <c r="AE401" t="s">
        <v>74</v>
      </c>
      <c r="AF401" t="s">
        <v>74</v>
      </c>
      <c r="AG401">
        <v>52</v>
      </c>
      <c r="AH401">
        <v>21</v>
      </c>
      <c r="AI401">
        <v>26</v>
      </c>
      <c r="AJ401">
        <v>0</v>
      </c>
      <c r="AK401">
        <v>8</v>
      </c>
      <c r="AL401" t="s">
        <v>136</v>
      </c>
      <c r="AM401" t="s">
        <v>137</v>
      </c>
      <c r="AN401" t="s">
        <v>138</v>
      </c>
      <c r="AO401" t="s">
        <v>139</v>
      </c>
      <c r="AP401" t="s">
        <v>140</v>
      </c>
      <c r="AQ401" t="s">
        <v>74</v>
      </c>
      <c r="AR401" t="s">
        <v>141</v>
      </c>
      <c r="AS401" t="s">
        <v>142</v>
      </c>
      <c r="AT401" t="s">
        <v>6392</v>
      </c>
      <c r="AU401">
        <v>2006</v>
      </c>
      <c r="AV401">
        <v>38</v>
      </c>
      <c r="AW401">
        <v>2</v>
      </c>
      <c r="AX401" t="s">
        <v>74</v>
      </c>
      <c r="AY401" t="s">
        <v>74</v>
      </c>
      <c r="AZ401" t="s">
        <v>74</v>
      </c>
      <c r="BA401" t="s">
        <v>74</v>
      </c>
      <c r="BB401">
        <v>153</v>
      </c>
      <c r="BC401">
        <v>162</v>
      </c>
      <c r="BD401" t="s">
        <v>74</v>
      </c>
      <c r="BE401" t="s">
        <v>6428</v>
      </c>
      <c r="BF401" t="str">
        <f>HYPERLINK("http://dx.doi.org/10.1657/1523-0430(2006)38[153:ARAEHG]2.0.CO;2","http://dx.doi.org/10.1657/1523-0430(2006)38[153:ARAEHG]2.0.CO;2")</f>
        <v>http://dx.doi.org/10.1657/1523-0430(2006)38[153:ARAEHG]2.0.CO;2</v>
      </c>
      <c r="BG401" t="s">
        <v>74</v>
      </c>
      <c r="BH401" t="s">
        <v>74</v>
      </c>
      <c r="BI401">
        <v>10</v>
      </c>
      <c r="BJ401" t="s">
        <v>144</v>
      </c>
      <c r="BK401" t="s">
        <v>97</v>
      </c>
      <c r="BL401" t="s">
        <v>145</v>
      </c>
      <c r="BM401" t="s">
        <v>6429</v>
      </c>
      <c r="BN401" t="s">
        <v>74</v>
      </c>
      <c r="BO401" t="s">
        <v>227</v>
      </c>
      <c r="BP401" t="s">
        <v>74</v>
      </c>
      <c r="BQ401" t="s">
        <v>74</v>
      </c>
      <c r="BR401" t="s">
        <v>100</v>
      </c>
      <c r="BS401" t="s">
        <v>6430</v>
      </c>
      <c r="BT401" t="str">
        <f>HYPERLINK("https%3A%2F%2Fwww.webofscience.com%2Fwos%2Fwoscc%2Ffull-record%2FWOS:000237814100001","View Full Record in Web of Science")</f>
        <v>View Full Record in Web of Science</v>
      </c>
    </row>
    <row r="402" spans="1:72" x14ac:dyDescent="0.15">
      <c r="A402" t="s">
        <v>72</v>
      </c>
      <c r="B402" t="s">
        <v>6431</v>
      </c>
      <c r="C402" t="s">
        <v>74</v>
      </c>
      <c r="D402" t="s">
        <v>74</v>
      </c>
      <c r="E402" t="s">
        <v>74</v>
      </c>
      <c r="F402" t="s">
        <v>6432</v>
      </c>
      <c r="G402" t="s">
        <v>74</v>
      </c>
      <c r="H402" t="s">
        <v>74</v>
      </c>
      <c r="I402" t="s">
        <v>6433</v>
      </c>
      <c r="J402" t="s">
        <v>129</v>
      </c>
      <c r="K402" t="s">
        <v>74</v>
      </c>
      <c r="L402" t="s">
        <v>74</v>
      </c>
      <c r="M402" t="s">
        <v>78</v>
      </c>
      <c r="N402" t="s">
        <v>79</v>
      </c>
      <c r="O402" t="s">
        <v>74</v>
      </c>
      <c r="P402" t="s">
        <v>74</v>
      </c>
      <c r="Q402" t="s">
        <v>74</v>
      </c>
      <c r="R402" t="s">
        <v>74</v>
      </c>
      <c r="S402" t="s">
        <v>74</v>
      </c>
      <c r="T402" t="s">
        <v>74</v>
      </c>
      <c r="U402" t="s">
        <v>6434</v>
      </c>
      <c r="V402" t="s">
        <v>6435</v>
      </c>
      <c r="W402" t="s">
        <v>6436</v>
      </c>
      <c r="X402" t="s">
        <v>6437</v>
      </c>
      <c r="Y402" t="s">
        <v>6438</v>
      </c>
      <c r="Z402" t="s">
        <v>6439</v>
      </c>
      <c r="AA402" t="s">
        <v>6440</v>
      </c>
      <c r="AB402" t="s">
        <v>6441</v>
      </c>
      <c r="AC402" t="s">
        <v>74</v>
      </c>
      <c r="AD402" t="s">
        <v>74</v>
      </c>
      <c r="AE402" t="s">
        <v>74</v>
      </c>
      <c r="AF402" t="s">
        <v>74</v>
      </c>
      <c r="AG402">
        <v>31</v>
      </c>
      <c r="AH402">
        <v>60</v>
      </c>
      <c r="AI402">
        <v>71</v>
      </c>
      <c r="AJ402">
        <v>0</v>
      </c>
      <c r="AK402">
        <v>45</v>
      </c>
      <c r="AL402" t="s">
        <v>136</v>
      </c>
      <c r="AM402" t="s">
        <v>137</v>
      </c>
      <c r="AN402" t="s">
        <v>138</v>
      </c>
      <c r="AO402" t="s">
        <v>139</v>
      </c>
      <c r="AP402" t="s">
        <v>140</v>
      </c>
      <c r="AQ402" t="s">
        <v>74</v>
      </c>
      <c r="AR402" t="s">
        <v>141</v>
      </c>
      <c r="AS402" t="s">
        <v>142</v>
      </c>
      <c r="AT402" t="s">
        <v>6392</v>
      </c>
      <c r="AU402">
        <v>2006</v>
      </c>
      <c r="AV402">
        <v>38</v>
      </c>
      <c r="AW402">
        <v>2</v>
      </c>
      <c r="AX402" t="s">
        <v>74</v>
      </c>
      <c r="AY402" t="s">
        <v>74</v>
      </c>
      <c r="AZ402" t="s">
        <v>74</v>
      </c>
      <c r="BA402" t="s">
        <v>74</v>
      </c>
      <c r="BB402">
        <v>163</v>
      </c>
      <c r="BC402">
        <v>172</v>
      </c>
      <c r="BD402" t="s">
        <v>74</v>
      </c>
      <c r="BE402" t="s">
        <v>6442</v>
      </c>
      <c r="BF402" t="str">
        <f>HYPERLINK("http://dx.doi.org/10.1657/1523-0430(2006)38[163:AADODO]2.0.CO;2","http://dx.doi.org/10.1657/1523-0430(2006)38[163:AADODO]2.0.CO;2")</f>
        <v>http://dx.doi.org/10.1657/1523-0430(2006)38[163:AADODO]2.0.CO;2</v>
      </c>
      <c r="BG402" t="s">
        <v>74</v>
      </c>
      <c r="BH402" t="s">
        <v>74</v>
      </c>
      <c r="BI402">
        <v>10</v>
      </c>
      <c r="BJ402" t="s">
        <v>144</v>
      </c>
      <c r="BK402" t="s">
        <v>97</v>
      </c>
      <c r="BL402" t="s">
        <v>145</v>
      </c>
      <c r="BM402" t="s">
        <v>6429</v>
      </c>
      <c r="BN402" t="s">
        <v>74</v>
      </c>
      <c r="BO402" t="s">
        <v>147</v>
      </c>
      <c r="BP402" t="s">
        <v>74</v>
      </c>
      <c r="BQ402" t="s">
        <v>74</v>
      </c>
      <c r="BR402" t="s">
        <v>100</v>
      </c>
      <c r="BS402" t="s">
        <v>6443</v>
      </c>
      <c r="BT402" t="str">
        <f>HYPERLINK("https%3A%2F%2Fwww.webofscience.com%2Fwos%2Fwoscc%2Ffull-record%2FWOS:000237814100002","View Full Record in Web of Science")</f>
        <v>View Full Record in Web of Science</v>
      </c>
    </row>
    <row r="403" spans="1:72" x14ac:dyDescent="0.15">
      <c r="A403" t="s">
        <v>72</v>
      </c>
      <c r="B403" t="s">
        <v>6444</v>
      </c>
      <c r="C403" t="s">
        <v>74</v>
      </c>
      <c r="D403" t="s">
        <v>74</v>
      </c>
      <c r="E403" t="s">
        <v>74</v>
      </c>
      <c r="F403" t="s">
        <v>6445</v>
      </c>
      <c r="G403" t="s">
        <v>74</v>
      </c>
      <c r="H403" t="s">
        <v>74</v>
      </c>
      <c r="I403" t="s">
        <v>6446</v>
      </c>
      <c r="J403" t="s">
        <v>129</v>
      </c>
      <c r="K403" t="s">
        <v>74</v>
      </c>
      <c r="L403" t="s">
        <v>74</v>
      </c>
      <c r="M403" t="s">
        <v>78</v>
      </c>
      <c r="N403" t="s">
        <v>79</v>
      </c>
      <c r="O403" t="s">
        <v>74</v>
      </c>
      <c r="P403" t="s">
        <v>74</v>
      </c>
      <c r="Q403" t="s">
        <v>74</v>
      </c>
      <c r="R403" t="s">
        <v>74</v>
      </c>
      <c r="S403" t="s">
        <v>74</v>
      </c>
      <c r="T403" t="s">
        <v>74</v>
      </c>
      <c r="U403" t="s">
        <v>6447</v>
      </c>
      <c r="V403" t="s">
        <v>6448</v>
      </c>
      <c r="W403" t="s">
        <v>6449</v>
      </c>
      <c r="X403" t="s">
        <v>6450</v>
      </c>
      <c r="Y403" t="s">
        <v>6451</v>
      </c>
      <c r="Z403" t="s">
        <v>6452</v>
      </c>
      <c r="AA403" t="s">
        <v>74</v>
      </c>
      <c r="AB403" t="s">
        <v>74</v>
      </c>
      <c r="AC403" t="s">
        <v>74</v>
      </c>
      <c r="AD403" t="s">
        <v>74</v>
      </c>
      <c r="AE403" t="s">
        <v>74</v>
      </c>
      <c r="AF403" t="s">
        <v>74</v>
      </c>
      <c r="AG403">
        <v>22</v>
      </c>
      <c r="AH403">
        <v>17</v>
      </c>
      <c r="AI403">
        <v>19</v>
      </c>
      <c r="AJ403">
        <v>2</v>
      </c>
      <c r="AK403">
        <v>32</v>
      </c>
      <c r="AL403" t="s">
        <v>160</v>
      </c>
      <c r="AM403" t="s">
        <v>161</v>
      </c>
      <c r="AN403" t="s">
        <v>162</v>
      </c>
      <c r="AO403" t="s">
        <v>139</v>
      </c>
      <c r="AP403" t="s">
        <v>140</v>
      </c>
      <c r="AQ403" t="s">
        <v>74</v>
      </c>
      <c r="AR403" t="s">
        <v>141</v>
      </c>
      <c r="AS403" t="s">
        <v>142</v>
      </c>
      <c r="AT403" t="s">
        <v>6392</v>
      </c>
      <c r="AU403">
        <v>2006</v>
      </c>
      <c r="AV403">
        <v>38</v>
      </c>
      <c r="AW403">
        <v>2</v>
      </c>
      <c r="AX403" t="s">
        <v>74</v>
      </c>
      <c r="AY403" t="s">
        <v>74</v>
      </c>
      <c r="AZ403" t="s">
        <v>74</v>
      </c>
      <c r="BA403" t="s">
        <v>74</v>
      </c>
      <c r="BB403">
        <v>173</v>
      </c>
      <c r="BC403">
        <v>178</v>
      </c>
      <c r="BD403" t="s">
        <v>74</v>
      </c>
      <c r="BE403" t="s">
        <v>6453</v>
      </c>
      <c r="BF403" t="str">
        <f>HYPERLINK("http://dx.doi.org/10.1657/1523-0430(2006)38[173:SOTTIR]2.0.CO;2","http://dx.doi.org/10.1657/1523-0430(2006)38[173:SOTTIR]2.0.CO;2")</f>
        <v>http://dx.doi.org/10.1657/1523-0430(2006)38[173:SOTTIR]2.0.CO;2</v>
      </c>
      <c r="BG403" t="s">
        <v>74</v>
      </c>
      <c r="BH403" t="s">
        <v>74</v>
      </c>
      <c r="BI403">
        <v>6</v>
      </c>
      <c r="BJ403" t="s">
        <v>144</v>
      </c>
      <c r="BK403" t="s">
        <v>97</v>
      </c>
      <c r="BL403" t="s">
        <v>145</v>
      </c>
      <c r="BM403" t="s">
        <v>6429</v>
      </c>
      <c r="BN403" t="s">
        <v>74</v>
      </c>
      <c r="BO403" t="s">
        <v>147</v>
      </c>
      <c r="BP403" t="s">
        <v>74</v>
      </c>
      <c r="BQ403" t="s">
        <v>74</v>
      </c>
      <c r="BR403" t="s">
        <v>100</v>
      </c>
      <c r="BS403" t="s">
        <v>6454</v>
      </c>
      <c r="BT403" t="str">
        <f>HYPERLINK("https%3A%2F%2Fwww.webofscience.com%2Fwos%2Fwoscc%2Ffull-record%2FWOS:000237814100003","View Full Record in Web of Science")</f>
        <v>View Full Record in Web of Science</v>
      </c>
    </row>
    <row r="404" spans="1:72" x14ac:dyDescent="0.15">
      <c r="A404" t="s">
        <v>72</v>
      </c>
      <c r="B404" t="s">
        <v>6455</v>
      </c>
      <c r="C404" t="s">
        <v>74</v>
      </c>
      <c r="D404" t="s">
        <v>74</v>
      </c>
      <c r="E404" t="s">
        <v>74</v>
      </c>
      <c r="F404" t="s">
        <v>6456</v>
      </c>
      <c r="G404" t="s">
        <v>74</v>
      </c>
      <c r="H404" t="s">
        <v>74</v>
      </c>
      <c r="I404" t="s">
        <v>6457</v>
      </c>
      <c r="J404" t="s">
        <v>129</v>
      </c>
      <c r="K404" t="s">
        <v>74</v>
      </c>
      <c r="L404" t="s">
        <v>74</v>
      </c>
      <c r="M404" t="s">
        <v>78</v>
      </c>
      <c r="N404" t="s">
        <v>79</v>
      </c>
      <c r="O404" t="s">
        <v>74</v>
      </c>
      <c r="P404" t="s">
        <v>74</v>
      </c>
      <c r="Q404" t="s">
        <v>74</v>
      </c>
      <c r="R404" t="s">
        <v>74</v>
      </c>
      <c r="S404" t="s">
        <v>74</v>
      </c>
      <c r="T404" t="s">
        <v>74</v>
      </c>
      <c r="U404" t="s">
        <v>6458</v>
      </c>
      <c r="V404" t="s">
        <v>6459</v>
      </c>
      <c r="W404" t="s">
        <v>6460</v>
      </c>
      <c r="X404" t="s">
        <v>6461</v>
      </c>
      <c r="Y404" t="s">
        <v>6462</v>
      </c>
      <c r="Z404" t="s">
        <v>6463</v>
      </c>
      <c r="AA404" t="s">
        <v>74</v>
      </c>
      <c r="AB404" t="s">
        <v>6464</v>
      </c>
      <c r="AC404" t="s">
        <v>6465</v>
      </c>
      <c r="AD404" t="s">
        <v>6466</v>
      </c>
      <c r="AE404" t="s">
        <v>74</v>
      </c>
      <c r="AF404" t="s">
        <v>74</v>
      </c>
      <c r="AG404">
        <v>58</v>
      </c>
      <c r="AH404">
        <v>13</v>
      </c>
      <c r="AI404">
        <v>16</v>
      </c>
      <c r="AJ404">
        <v>0</v>
      </c>
      <c r="AK404">
        <v>13</v>
      </c>
      <c r="AL404" t="s">
        <v>136</v>
      </c>
      <c r="AM404" t="s">
        <v>137</v>
      </c>
      <c r="AN404" t="s">
        <v>138</v>
      </c>
      <c r="AO404" t="s">
        <v>139</v>
      </c>
      <c r="AP404" t="s">
        <v>140</v>
      </c>
      <c r="AQ404" t="s">
        <v>74</v>
      </c>
      <c r="AR404" t="s">
        <v>141</v>
      </c>
      <c r="AS404" t="s">
        <v>142</v>
      </c>
      <c r="AT404" t="s">
        <v>6392</v>
      </c>
      <c r="AU404">
        <v>2006</v>
      </c>
      <c r="AV404">
        <v>38</v>
      </c>
      <c r="AW404">
        <v>2</v>
      </c>
      <c r="AX404" t="s">
        <v>74</v>
      </c>
      <c r="AY404" t="s">
        <v>74</v>
      </c>
      <c r="AZ404" t="s">
        <v>74</v>
      </c>
      <c r="BA404" t="s">
        <v>74</v>
      </c>
      <c r="BB404">
        <v>179</v>
      </c>
      <c r="BC404">
        <v>189</v>
      </c>
      <c r="BD404" t="s">
        <v>74</v>
      </c>
      <c r="BE404" t="s">
        <v>6467</v>
      </c>
      <c r="BF404" t="str">
        <f>HYPERLINK("http://dx.doi.org/10.1657/1523-0430(2006)38[179:EFAWDC]2.0.CO;2","http://dx.doi.org/10.1657/1523-0430(2006)38[179:EFAWDC]2.0.CO;2")</f>
        <v>http://dx.doi.org/10.1657/1523-0430(2006)38[179:EFAWDC]2.0.CO;2</v>
      </c>
      <c r="BG404" t="s">
        <v>74</v>
      </c>
      <c r="BH404" t="s">
        <v>74</v>
      </c>
      <c r="BI404">
        <v>11</v>
      </c>
      <c r="BJ404" t="s">
        <v>144</v>
      </c>
      <c r="BK404" t="s">
        <v>97</v>
      </c>
      <c r="BL404" t="s">
        <v>145</v>
      </c>
      <c r="BM404" t="s">
        <v>6429</v>
      </c>
      <c r="BN404" t="s">
        <v>74</v>
      </c>
      <c r="BO404" t="s">
        <v>164</v>
      </c>
      <c r="BP404" t="s">
        <v>74</v>
      </c>
      <c r="BQ404" t="s">
        <v>74</v>
      </c>
      <c r="BR404" t="s">
        <v>100</v>
      </c>
      <c r="BS404" t="s">
        <v>6468</v>
      </c>
      <c r="BT404" t="str">
        <f>HYPERLINK("https%3A%2F%2Fwww.webofscience.com%2Fwos%2Fwoscc%2Ffull-record%2FWOS:000237814100004","View Full Record in Web of Science")</f>
        <v>View Full Record in Web of Science</v>
      </c>
    </row>
    <row r="405" spans="1:72" x14ac:dyDescent="0.15">
      <c r="A405" t="s">
        <v>72</v>
      </c>
      <c r="B405" t="s">
        <v>6469</v>
      </c>
      <c r="C405" t="s">
        <v>74</v>
      </c>
      <c r="D405" t="s">
        <v>74</v>
      </c>
      <c r="E405" t="s">
        <v>74</v>
      </c>
      <c r="F405" t="s">
        <v>6470</v>
      </c>
      <c r="G405" t="s">
        <v>74</v>
      </c>
      <c r="H405" t="s">
        <v>74</v>
      </c>
      <c r="I405" t="s">
        <v>6471</v>
      </c>
      <c r="J405" t="s">
        <v>129</v>
      </c>
      <c r="K405" t="s">
        <v>74</v>
      </c>
      <c r="L405" t="s">
        <v>74</v>
      </c>
      <c r="M405" t="s">
        <v>78</v>
      </c>
      <c r="N405" t="s">
        <v>79</v>
      </c>
      <c r="O405" t="s">
        <v>74</v>
      </c>
      <c r="P405" t="s">
        <v>74</v>
      </c>
      <c r="Q405" t="s">
        <v>74</v>
      </c>
      <c r="R405" t="s">
        <v>74</v>
      </c>
      <c r="S405" t="s">
        <v>74</v>
      </c>
      <c r="T405" t="s">
        <v>74</v>
      </c>
      <c r="U405" t="s">
        <v>6472</v>
      </c>
      <c r="V405" t="s">
        <v>6473</v>
      </c>
      <c r="W405" t="s">
        <v>6474</v>
      </c>
      <c r="X405" t="s">
        <v>6475</v>
      </c>
      <c r="Y405" t="s">
        <v>6476</v>
      </c>
      <c r="Z405" t="s">
        <v>6477</v>
      </c>
      <c r="AA405" t="s">
        <v>74</v>
      </c>
      <c r="AB405" t="s">
        <v>74</v>
      </c>
      <c r="AC405" t="s">
        <v>74</v>
      </c>
      <c r="AD405" t="s">
        <v>74</v>
      </c>
      <c r="AE405" t="s">
        <v>74</v>
      </c>
      <c r="AF405" t="s">
        <v>74</v>
      </c>
      <c r="AG405">
        <v>49</v>
      </c>
      <c r="AH405">
        <v>15</v>
      </c>
      <c r="AI405">
        <v>19</v>
      </c>
      <c r="AJ405">
        <v>0</v>
      </c>
      <c r="AK405">
        <v>7</v>
      </c>
      <c r="AL405" t="s">
        <v>160</v>
      </c>
      <c r="AM405" t="s">
        <v>161</v>
      </c>
      <c r="AN405" t="s">
        <v>162</v>
      </c>
      <c r="AO405" t="s">
        <v>139</v>
      </c>
      <c r="AP405" t="s">
        <v>140</v>
      </c>
      <c r="AQ405" t="s">
        <v>74</v>
      </c>
      <c r="AR405" t="s">
        <v>141</v>
      </c>
      <c r="AS405" t="s">
        <v>142</v>
      </c>
      <c r="AT405" t="s">
        <v>6392</v>
      </c>
      <c r="AU405">
        <v>2006</v>
      </c>
      <c r="AV405">
        <v>38</v>
      </c>
      <c r="AW405">
        <v>2</v>
      </c>
      <c r="AX405" t="s">
        <v>74</v>
      </c>
      <c r="AY405" t="s">
        <v>74</v>
      </c>
      <c r="AZ405" t="s">
        <v>74</v>
      </c>
      <c r="BA405" t="s">
        <v>74</v>
      </c>
      <c r="BB405">
        <v>190</v>
      </c>
      <c r="BC405">
        <v>197</v>
      </c>
      <c r="BD405" t="s">
        <v>74</v>
      </c>
      <c r="BE405" t="s">
        <v>6478</v>
      </c>
      <c r="BF405" t="str">
        <f>HYPERLINK("http://dx.doi.org/10.1657/1523-0430(2006)38[190:ABAGMW]2.0.CO;2","http://dx.doi.org/10.1657/1523-0430(2006)38[190:ABAGMW]2.0.CO;2")</f>
        <v>http://dx.doi.org/10.1657/1523-0430(2006)38[190:ABAGMW]2.0.CO;2</v>
      </c>
      <c r="BG405" t="s">
        <v>74</v>
      </c>
      <c r="BH405" t="s">
        <v>74</v>
      </c>
      <c r="BI405">
        <v>8</v>
      </c>
      <c r="BJ405" t="s">
        <v>144</v>
      </c>
      <c r="BK405" t="s">
        <v>97</v>
      </c>
      <c r="BL405" t="s">
        <v>145</v>
      </c>
      <c r="BM405" t="s">
        <v>6429</v>
      </c>
      <c r="BN405" t="s">
        <v>74</v>
      </c>
      <c r="BO405" t="s">
        <v>164</v>
      </c>
      <c r="BP405" t="s">
        <v>74</v>
      </c>
      <c r="BQ405" t="s">
        <v>74</v>
      </c>
      <c r="BR405" t="s">
        <v>100</v>
      </c>
      <c r="BS405" t="s">
        <v>6479</v>
      </c>
      <c r="BT405" t="str">
        <f>HYPERLINK("https%3A%2F%2Fwww.webofscience.com%2Fwos%2Fwoscc%2Ffull-record%2FWOS:000237814100005","View Full Record in Web of Science")</f>
        <v>View Full Record in Web of Science</v>
      </c>
    </row>
    <row r="406" spans="1:72" x14ac:dyDescent="0.15">
      <c r="A406" t="s">
        <v>72</v>
      </c>
      <c r="B406" t="s">
        <v>6480</v>
      </c>
      <c r="C406" t="s">
        <v>74</v>
      </c>
      <c r="D406" t="s">
        <v>74</v>
      </c>
      <c r="E406" t="s">
        <v>74</v>
      </c>
      <c r="F406" t="s">
        <v>6481</v>
      </c>
      <c r="G406" t="s">
        <v>74</v>
      </c>
      <c r="H406" t="s">
        <v>74</v>
      </c>
      <c r="I406" t="s">
        <v>6482</v>
      </c>
      <c r="J406" t="s">
        <v>129</v>
      </c>
      <c r="K406" t="s">
        <v>74</v>
      </c>
      <c r="L406" t="s">
        <v>74</v>
      </c>
      <c r="M406" t="s">
        <v>78</v>
      </c>
      <c r="N406" t="s">
        <v>79</v>
      </c>
      <c r="O406" t="s">
        <v>74</v>
      </c>
      <c r="P406" t="s">
        <v>74</v>
      </c>
      <c r="Q406" t="s">
        <v>74</v>
      </c>
      <c r="R406" t="s">
        <v>74</v>
      </c>
      <c r="S406" t="s">
        <v>74</v>
      </c>
      <c r="T406" t="s">
        <v>74</v>
      </c>
      <c r="U406" t="s">
        <v>6483</v>
      </c>
      <c r="V406" t="s">
        <v>6484</v>
      </c>
      <c r="W406" t="s">
        <v>304</v>
      </c>
      <c r="X406" t="s">
        <v>305</v>
      </c>
      <c r="Y406" t="s">
        <v>6485</v>
      </c>
      <c r="Z406" t="s">
        <v>6486</v>
      </c>
      <c r="AA406" t="s">
        <v>6487</v>
      </c>
      <c r="AB406" t="s">
        <v>6488</v>
      </c>
      <c r="AC406" t="s">
        <v>74</v>
      </c>
      <c r="AD406" t="s">
        <v>74</v>
      </c>
      <c r="AE406" t="s">
        <v>74</v>
      </c>
      <c r="AF406" t="s">
        <v>74</v>
      </c>
      <c r="AG406">
        <v>44</v>
      </c>
      <c r="AH406">
        <v>16</v>
      </c>
      <c r="AI406">
        <v>16</v>
      </c>
      <c r="AJ406">
        <v>1</v>
      </c>
      <c r="AK406">
        <v>26</v>
      </c>
      <c r="AL406" t="s">
        <v>136</v>
      </c>
      <c r="AM406" t="s">
        <v>137</v>
      </c>
      <c r="AN406" t="s">
        <v>138</v>
      </c>
      <c r="AO406" t="s">
        <v>139</v>
      </c>
      <c r="AP406" t="s">
        <v>140</v>
      </c>
      <c r="AQ406" t="s">
        <v>74</v>
      </c>
      <c r="AR406" t="s">
        <v>141</v>
      </c>
      <c r="AS406" t="s">
        <v>142</v>
      </c>
      <c r="AT406" t="s">
        <v>6392</v>
      </c>
      <c r="AU406">
        <v>2006</v>
      </c>
      <c r="AV406">
        <v>38</v>
      </c>
      <c r="AW406">
        <v>2</v>
      </c>
      <c r="AX406" t="s">
        <v>74</v>
      </c>
      <c r="AY406" t="s">
        <v>74</v>
      </c>
      <c r="AZ406" t="s">
        <v>74</v>
      </c>
      <c r="BA406" t="s">
        <v>74</v>
      </c>
      <c r="BB406">
        <v>198</v>
      </c>
      <c r="BC406">
        <v>205</v>
      </c>
      <c r="BD406" t="s">
        <v>74</v>
      </c>
      <c r="BE406" t="s">
        <v>6489</v>
      </c>
      <c r="BF406" t="str">
        <f>HYPERLINK("http://dx.doi.org/10.1657/1523-0430(2006)38[198:PCAPEO]2.0.CO;2","http://dx.doi.org/10.1657/1523-0430(2006)38[198:PCAPEO]2.0.CO;2")</f>
        <v>http://dx.doi.org/10.1657/1523-0430(2006)38[198:PCAPEO]2.0.CO;2</v>
      </c>
      <c r="BG406" t="s">
        <v>74</v>
      </c>
      <c r="BH406" t="s">
        <v>74</v>
      </c>
      <c r="BI406">
        <v>8</v>
      </c>
      <c r="BJ406" t="s">
        <v>144</v>
      </c>
      <c r="BK406" t="s">
        <v>97</v>
      </c>
      <c r="BL406" t="s">
        <v>145</v>
      </c>
      <c r="BM406" t="s">
        <v>6429</v>
      </c>
      <c r="BN406" t="s">
        <v>74</v>
      </c>
      <c r="BO406" t="s">
        <v>74</v>
      </c>
      <c r="BP406" t="s">
        <v>74</v>
      </c>
      <c r="BQ406" t="s">
        <v>74</v>
      </c>
      <c r="BR406" t="s">
        <v>100</v>
      </c>
      <c r="BS406" t="s">
        <v>6490</v>
      </c>
      <c r="BT406" t="str">
        <f>HYPERLINK("https%3A%2F%2Fwww.webofscience.com%2Fwos%2Fwoscc%2Ffull-record%2FWOS:000237814100006","View Full Record in Web of Science")</f>
        <v>View Full Record in Web of Science</v>
      </c>
    </row>
    <row r="407" spans="1:72" x14ac:dyDescent="0.15">
      <c r="A407" t="s">
        <v>72</v>
      </c>
      <c r="B407" t="s">
        <v>6491</v>
      </c>
      <c r="C407" t="s">
        <v>74</v>
      </c>
      <c r="D407" t="s">
        <v>74</v>
      </c>
      <c r="E407" t="s">
        <v>74</v>
      </c>
      <c r="F407" t="s">
        <v>6492</v>
      </c>
      <c r="G407" t="s">
        <v>74</v>
      </c>
      <c r="H407" t="s">
        <v>74</v>
      </c>
      <c r="I407" t="s">
        <v>6493</v>
      </c>
      <c r="J407" t="s">
        <v>129</v>
      </c>
      <c r="K407" t="s">
        <v>74</v>
      </c>
      <c r="L407" t="s">
        <v>74</v>
      </c>
      <c r="M407" t="s">
        <v>78</v>
      </c>
      <c r="N407" t="s">
        <v>79</v>
      </c>
      <c r="O407" t="s">
        <v>74</v>
      </c>
      <c r="P407" t="s">
        <v>74</v>
      </c>
      <c r="Q407" t="s">
        <v>74</v>
      </c>
      <c r="R407" t="s">
        <v>74</v>
      </c>
      <c r="S407" t="s">
        <v>74</v>
      </c>
      <c r="T407" t="s">
        <v>74</v>
      </c>
      <c r="U407" t="s">
        <v>6494</v>
      </c>
      <c r="V407" t="s">
        <v>6495</v>
      </c>
      <c r="W407" t="s">
        <v>6496</v>
      </c>
      <c r="X407" t="s">
        <v>6497</v>
      </c>
      <c r="Y407" t="s">
        <v>6498</v>
      </c>
      <c r="Z407" t="s">
        <v>6499</v>
      </c>
      <c r="AA407" t="s">
        <v>74</v>
      </c>
      <c r="AB407" t="s">
        <v>74</v>
      </c>
      <c r="AC407" t="s">
        <v>74</v>
      </c>
      <c r="AD407" t="s">
        <v>74</v>
      </c>
      <c r="AE407" t="s">
        <v>74</v>
      </c>
      <c r="AF407" t="s">
        <v>74</v>
      </c>
      <c r="AG407">
        <v>51</v>
      </c>
      <c r="AH407">
        <v>41</v>
      </c>
      <c r="AI407">
        <v>48</v>
      </c>
      <c r="AJ407">
        <v>0</v>
      </c>
      <c r="AK407">
        <v>42</v>
      </c>
      <c r="AL407" t="s">
        <v>136</v>
      </c>
      <c r="AM407" t="s">
        <v>137</v>
      </c>
      <c r="AN407" t="s">
        <v>138</v>
      </c>
      <c r="AO407" t="s">
        <v>139</v>
      </c>
      <c r="AP407" t="s">
        <v>140</v>
      </c>
      <c r="AQ407" t="s">
        <v>74</v>
      </c>
      <c r="AR407" t="s">
        <v>141</v>
      </c>
      <c r="AS407" t="s">
        <v>142</v>
      </c>
      <c r="AT407" t="s">
        <v>6392</v>
      </c>
      <c r="AU407">
        <v>2006</v>
      </c>
      <c r="AV407">
        <v>38</v>
      </c>
      <c r="AW407">
        <v>2</v>
      </c>
      <c r="AX407" t="s">
        <v>74</v>
      </c>
      <c r="AY407" t="s">
        <v>74</v>
      </c>
      <c r="AZ407" t="s">
        <v>74</v>
      </c>
      <c r="BA407" t="s">
        <v>74</v>
      </c>
      <c r="BB407">
        <v>206</v>
      </c>
      <c r="BC407">
        <v>215</v>
      </c>
      <c r="BD407" t="s">
        <v>74</v>
      </c>
      <c r="BE407" t="s">
        <v>6500</v>
      </c>
      <c r="BF407" t="str">
        <f>HYPERLINK("http://dx.doi.org/10.1657/1523-0430(2006)38[206:STATRT]2.0.CO;2","http://dx.doi.org/10.1657/1523-0430(2006)38[206:STATRT]2.0.CO;2")</f>
        <v>http://dx.doi.org/10.1657/1523-0430(2006)38[206:STATRT]2.0.CO;2</v>
      </c>
      <c r="BG407" t="s">
        <v>74</v>
      </c>
      <c r="BH407" t="s">
        <v>74</v>
      </c>
      <c r="BI407">
        <v>10</v>
      </c>
      <c r="BJ407" t="s">
        <v>144</v>
      </c>
      <c r="BK407" t="s">
        <v>97</v>
      </c>
      <c r="BL407" t="s">
        <v>145</v>
      </c>
      <c r="BM407" t="s">
        <v>6429</v>
      </c>
      <c r="BN407" t="s">
        <v>74</v>
      </c>
      <c r="BO407" t="s">
        <v>147</v>
      </c>
      <c r="BP407" t="s">
        <v>74</v>
      </c>
      <c r="BQ407" t="s">
        <v>74</v>
      </c>
      <c r="BR407" t="s">
        <v>100</v>
      </c>
      <c r="BS407" t="s">
        <v>6501</v>
      </c>
      <c r="BT407" t="str">
        <f>HYPERLINK("https%3A%2F%2Fwww.webofscience.com%2Fwos%2Fwoscc%2Ffull-record%2FWOS:000237814100007","View Full Record in Web of Science")</f>
        <v>View Full Record in Web of Science</v>
      </c>
    </row>
    <row r="408" spans="1:72" x14ac:dyDescent="0.15">
      <c r="A408" t="s">
        <v>72</v>
      </c>
      <c r="B408" t="s">
        <v>6502</v>
      </c>
      <c r="C408" t="s">
        <v>74</v>
      </c>
      <c r="D408" t="s">
        <v>74</v>
      </c>
      <c r="E408" t="s">
        <v>74</v>
      </c>
      <c r="F408" t="s">
        <v>6503</v>
      </c>
      <c r="G408" t="s">
        <v>74</v>
      </c>
      <c r="H408" t="s">
        <v>74</v>
      </c>
      <c r="I408" t="s">
        <v>6504</v>
      </c>
      <c r="J408" t="s">
        <v>129</v>
      </c>
      <c r="K408" t="s">
        <v>74</v>
      </c>
      <c r="L408" t="s">
        <v>74</v>
      </c>
      <c r="M408" t="s">
        <v>78</v>
      </c>
      <c r="N408" t="s">
        <v>79</v>
      </c>
      <c r="O408" t="s">
        <v>74</v>
      </c>
      <c r="P408" t="s">
        <v>74</v>
      </c>
      <c r="Q408" t="s">
        <v>74</v>
      </c>
      <c r="R408" t="s">
        <v>74</v>
      </c>
      <c r="S408" t="s">
        <v>74</v>
      </c>
      <c r="T408" t="s">
        <v>74</v>
      </c>
      <c r="U408" t="s">
        <v>6505</v>
      </c>
      <c r="V408" t="s">
        <v>6506</v>
      </c>
      <c r="W408" t="s">
        <v>6507</v>
      </c>
      <c r="X408" t="s">
        <v>6508</v>
      </c>
      <c r="Y408" t="s">
        <v>6509</v>
      </c>
      <c r="Z408" t="s">
        <v>6510</v>
      </c>
      <c r="AA408" t="s">
        <v>74</v>
      </c>
      <c r="AB408" t="s">
        <v>6511</v>
      </c>
      <c r="AC408" t="s">
        <v>74</v>
      </c>
      <c r="AD408" t="s">
        <v>74</v>
      </c>
      <c r="AE408" t="s">
        <v>74</v>
      </c>
      <c r="AF408" t="s">
        <v>74</v>
      </c>
      <c r="AG408">
        <v>29</v>
      </c>
      <c r="AH408">
        <v>2</v>
      </c>
      <c r="AI408">
        <v>2</v>
      </c>
      <c r="AJ408">
        <v>0</v>
      </c>
      <c r="AK408">
        <v>9</v>
      </c>
      <c r="AL408" t="s">
        <v>136</v>
      </c>
      <c r="AM408" t="s">
        <v>137</v>
      </c>
      <c r="AN408" t="s">
        <v>138</v>
      </c>
      <c r="AO408" t="s">
        <v>139</v>
      </c>
      <c r="AP408" t="s">
        <v>140</v>
      </c>
      <c r="AQ408" t="s">
        <v>74</v>
      </c>
      <c r="AR408" t="s">
        <v>141</v>
      </c>
      <c r="AS408" t="s">
        <v>142</v>
      </c>
      <c r="AT408" t="s">
        <v>6392</v>
      </c>
      <c r="AU408">
        <v>2006</v>
      </c>
      <c r="AV408">
        <v>38</v>
      </c>
      <c r="AW408">
        <v>2</v>
      </c>
      <c r="AX408" t="s">
        <v>74</v>
      </c>
      <c r="AY408" t="s">
        <v>74</v>
      </c>
      <c r="AZ408" t="s">
        <v>74</v>
      </c>
      <c r="BA408" t="s">
        <v>74</v>
      </c>
      <c r="BB408">
        <v>216</v>
      </c>
      <c r="BC408">
        <v>223</v>
      </c>
      <c r="BD408" t="s">
        <v>74</v>
      </c>
      <c r="BE408" t="s">
        <v>6512</v>
      </c>
      <c r="BF408" t="str">
        <f>HYPERLINK("http://dx.doi.org/10.1657/1523-0430(2006)38[216:ABVPIA]2.0.CO;2","http://dx.doi.org/10.1657/1523-0430(2006)38[216:ABVPIA]2.0.CO;2")</f>
        <v>http://dx.doi.org/10.1657/1523-0430(2006)38[216:ABVPIA]2.0.CO;2</v>
      </c>
      <c r="BG408" t="s">
        <v>74</v>
      </c>
      <c r="BH408" t="s">
        <v>74</v>
      </c>
      <c r="BI408">
        <v>8</v>
      </c>
      <c r="BJ408" t="s">
        <v>144</v>
      </c>
      <c r="BK408" t="s">
        <v>97</v>
      </c>
      <c r="BL408" t="s">
        <v>145</v>
      </c>
      <c r="BM408" t="s">
        <v>6429</v>
      </c>
      <c r="BN408" t="s">
        <v>74</v>
      </c>
      <c r="BO408" t="s">
        <v>164</v>
      </c>
      <c r="BP408" t="s">
        <v>74</v>
      </c>
      <c r="BQ408" t="s">
        <v>74</v>
      </c>
      <c r="BR408" t="s">
        <v>100</v>
      </c>
      <c r="BS408" t="s">
        <v>6513</v>
      </c>
      <c r="BT408" t="str">
        <f>HYPERLINK("https%3A%2F%2Fwww.webofscience.com%2Fwos%2Fwoscc%2Ffull-record%2FWOS:000237814100008","View Full Record in Web of Science")</f>
        <v>View Full Record in Web of Science</v>
      </c>
    </row>
    <row r="409" spans="1:72" x14ac:dyDescent="0.15">
      <c r="A409" t="s">
        <v>72</v>
      </c>
      <c r="B409" t="s">
        <v>6514</v>
      </c>
      <c r="C409" t="s">
        <v>74</v>
      </c>
      <c r="D409" t="s">
        <v>74</v>
      </c>
      <c r="E409" t="s">
        <v>74</v>
      </c>
      <c r="F409" t="s">
        <v>6515</v>
      </c>
      <c r="G409" t="s">
        <v>74</v>
      </c>
      <c r="H409" t="s">
        <v>74</v>
      </c>
      <c r="I409" t="s">
        <v>6516</v>
      </c>
      <c r="J409" t="s">
        <v>129</v>
      </c>
      <c r="K409" t="s">
        <v>74</v>
      </c>
      <c r="L409" t="s">
        <v>74</v>
      </c>
      <c r="M409" t="s">
        <v>78</v>
      </c>
      <c r="N409" t="s">
        <v>79</v>
      </c>
      <c r="O409" t="s">
        <v>74</v>
      </c>
      <c r="P409" t="s">
        <v>74</v>
      </c>
      <c r="Q409" t="s">
        <v>74</v>
      </c>
      <c r="R409" t="s">
        <v>74</v>
      </c>
      <c r="S409" t="s">
        <v>74</v>
      </c>
      <c r="T409" t="s">
        <v>74</v>
      </c>
      <c r="U409" t="s">
        <v>6517</v>
      </c>
      <c r="V409" t="s">
        <v>6518</v>
      </c>
      <c r="W409" t="s">
        <v>6519</v>
      </c>
      <c r="X409" t="s">
        <v>6520</v>
      </c>
      <c r="Y409" t="s">
        <v>6521</v>
      </c>
      <c r="Z409" t="s">
        <v>6522</v>
      </c>
      <c r="AA409" t="s">
        <v>6523</v>
      </c>
      <c r="AB409" t="s">
        <v>6524</v>
      </c>
      <c r="AC409" t="s">
        <v>74</v>
      </c>
      <c r="AD409" t="s">
        <v>74</v>
      </c>
      <c r="AE409" t="s">
        <v>74</v>
      </c>
      <c r="AF409" t="s">
        <v>74</v>
      </c>
      <c r="AG409">
        <v>21</v>
      </c>
      <c r="AH409">
        <v>36</v>
      </c>
      <c r="AI409">
        <v>37</v>
      </c>
      <c r="AJ409">
        <v>1</v>
      </c>
      <c r="AK409">
        <v>14</v>
      </c>
      <c r="AL409" t="s">
        <v>160</v>
      </c>
      <c r="AM409" t="s">
        <v>161</v>
      </c>
      <c r="AN409" t="s">
        <v>162</v>
      </c>
      <c r="AO409" t="s">
        <v>139</v>
      </c>
      <c r="AP409" t="s">
        <v>140</v>
      </c>
      <c r="AQ409" t="s">
        <v>74</v>
      </c>
      <c r="AR409" t="s">
        <v>141</v>
      </c>
      <c r="AS409" t="s">
        <v>142</v>
      </c>
      <c r="AT409" t="s">
        <v>6392</v>
      </c>
      <c r="AU409">
        <v>2006</v>
      </c>
      <c r="AV409">
        <v>38</v>
      </c>
      <c r="AW409">
        <v>2</v>
      </c>
      <c r="AX409" t="s">
        <v>74</v>
      </c>
      <c r="AY409" t="s">
        <v>74</v>
      </c>
      <c r="AZ409" t="s">
        <v>74</v>
      </c>
      <c r="BA409" t="s">
        <v>74</v>
      </c>
      <c r="BB409">
        <v>224</v>
      </c>
      <c r="BC409">
        <v>227</v>
      </c>
      <c r="BD409" t="s">
        <v>74</v>
      </c>
      <c r="BE409" t="s">
        <v>6525</v>
      </c>
      <c r="BF409" t="str">
        <f>HYPERLINK("http://dx.doi.org/10.1657/1523-0430(2006)38[224:CPAMSF]2.0.CO;2","http://dx.doi.org/10.1657/1523-0430(2006)38[224:CPAMSF]2.0.CO;2")</f>
        <v>http://dx.doi.org/10.1657/1523-0430(2006)38[224:CPAMSF]2.0.CO;2</v>
      </c>
      <c r="BG409" t="s">
        <v>74</v>
      </c>
      <c r="BH409" t="s">
        <v>74</v>
      </c>
      <c r="BI409">
        <v>4</v>
      </c>
      <c r="BJ409" t="s">
        <v>144</v>
      </c>
      <c r="BK409" t="s">
        <v>97</v>
      </c>
      <c r="BL409" t="s">
        <v>145</v>
      </c>
      <c r="BM409" t="s">
        <v>6429</v>
      </c>
      <c r="BN409" t="s">
        <v>74</v>
      </c>
      <c r="BO409" t="s">
        <v>227</v>
      </c>
      <c r="BP409" t="s">
        <v>74</v>
      </c>
      <c r="BQ409" t="s">
        <v>74</v>
      </c>
      <c r="BR409" t="s">
        <v>100</v>
      </c>
      <c r="BS409" t="s">
        <v>6526</v>
      </c>
      <c r="BT409" t="str">
        <f>HYPERLINK("https%3A%2F%2Fwww.webofscience.com%2Fwos%2Fwoscc%2Ffull-record%2FWOS:000237814100009","View Full Record in Web of Science")</f>
        <v>View Full Record in Web of Science</v>
      </c>
    </row>
    <row r="410" spans="1:72" x14ac:dyDescent="0.15">
      <c r="A410" t="s">
        <v>72</v>
      </c>
      <c r="B410" t="s">
        <v>6527</v>
      </c>
      <c r="C410" t="s">
        <v>74</v>
      </c>
      <c r="D410" t="s">
        <v>74</v>
      </c>
      <c r="E410" t="s">
        <v>74</v>
      </c>
      <c r="F410" t="s">
        <v>6528</v>
      </c>
      <c r="G410" t="s">
        <v>74</v>
      </c>
      <c r="H410" t="s">
        <v>74</v>
      </c>
      <c r="I410" t="s">
        <v>6529</v>
      </c>
      <c r="J410" t="s">
        <v>129</v>
      </c>
      <c r="K410" t="s">
        <v>74</v>
      </c>
      <c r="L410" t="s">
        <v>74</v>
      </c>
      <c r="M410" t="s">
        <v>78</v>
      </c>
      <c r="N410" t="s">
        <v>79</v>
      </c>
      <c r="O410" t="s">
        <v>74</v>
      </c>
      <c r="P410" t="s">
        <v>74</v>
      </c>
      <c r="Q410" t="s">
        <v>74</v>
      </c>
      <c r="R410" t="s">
        <v>74</v>
      </c>
      <c r="S410" t="s">
        <v>74</v>
      </c>
      <c r="T410" t="s">
        <v>74</v>
      </c>
      <c r="U410" t="s">
        <v>6530</v>
      </c>
      <c r="V410" t="s">
        <v>6531</v>
      </c>
      <c r="W410" t="s">
        <v>6532</v>
      </c>
      <c r="X410" t="s">
        <v>6533</v>
      </c>
      <c r="Y410" t="s">
        <v>6534</v>
      </c>
      <c r="Z410" t="s">
        <v>6535</v>
      </c>
      <c r="AA410" t="s">
        <v>74</v>
      </c>
      <c r="AB410" t="s">
        <v>74</v>
      </c>
      <c r="AC410" t="s">
        <v>74</v>
      </c>
      <c r="AD410" t="s">
        <v>74</v>
      </c>
      <c r="AE410" t="s">
        <v>74</v>
      </c>
      <c r="AF410" t="s">
        <v>74</v>
      </c>
      <c r="AG410">
        <v>59</v>
      </c>
      <c r="AH410">
        <v>49</v>
      </c>
      <c r="AI410">
        <v>57</v>
      </c>
      <c r="AJ410">
        <v>0</v>
      </c>
      <c r="AK410">
        <v>15</v>
      </c>
      <c r="AL410" t="s">
        <v>160</v>
      </c>
      <c r="AM410" t="s">
        <v>161</v>
      </c>
      <c r="AN410" t="s">
        <v>162</v>
      </c>
      <c r="AO410" t="s">
        <v>139</v>
      </c>
      <c r="AP410" t="s">
        <v>74</v>
      </c>
      <c r="AQ410" t="s">
        <v>74</v>
      </c>
      <c r="AR410" t="s">
        <v>141</v>
      </c>
      <c r="AS410" t="s">
        <v>142</v>
      </c>
      <c r="AT410" t="s">
        <v>6392</v>
      </c>
      <c r="AU410">
        <v>2006</v>
      </c>
      <c r="AV410">
        <v>38</v>
      </c>
      <c r="AW410">
        <v>2</v>
      </c>
      <c r="AX410" t="s">
        <v>74</v>
      </c>
      <c r="AY410" t="s">
        <v>74</v>
      </c>
      <c r="AZ410" t="s">
        <v>74</v>
      </c>
      <c r="BA410" t="s">
        <v>74</v>
      </c>
      <c r="BB410">
        <v>228</v>
      </c>
      <c r="BC410">
        <v>238</v>
      </c>
      <c r="BD410" t="s">
        <v>74</v>
      </c>
      <c r="BE410" t="s">
        <v>6536</v>
      </c>
      <c r="BF410" t="str">
        <f>HYPERLINK("http://dx.doi.org/10.1657/1523-0430(2006)38[228:ROSTFA]2.0.CO;2","http://dx.doi.org/10.1657/1523-0430(2006)38[228:ROSTFA]2.0.CO;2")</f>
        <v>http://dx.doi.org/10.1657/1523-0430(2006)38[228:ROSTFA]2.0.CO;2</v>
      </c>
      <c r="BG410" t="s">
        <v>74</v>
      </c>
      <c r="BH410" t="s">
        <v>74</v>
      </c>
      <c r="BI410">
        <v>11</v>
      </c>
      <c r="BJ410" t="s">
        <v>144</v>
      </c>
      <c r="BK410" t="s">
        <v>97</v>
      </c>
      <c r="BL410" t="s">
        <v>145</v>
      </c>
      <c r="BM410" t="s">
        <v>6429</v>
      </c>
      <c r="BN410" t="s">
        <v>74</v>
      </c>
      <c r="BO410" t="s">
        <v>147</v>
      </c>
      <c r="BP410" t="s">
        <v>74</v>
      </c>
      <c r="BQ410" t="s">
        <v>74</v>
      </c>
      <c r="BR410" t="s">
        <v>100</v>
      </c>
      <c r="BS410" t="s">
        <v>6537</v>
      </c>
      <c r="BT410" t="str">
        <f>HYPERLINK("https%3A%2F%2Fwww.webofscience.com%2Fwos%2Fwoscc%2Ffull-record%2FWOS:000237814100010","View Full Record in Web of Science")</f>
        <v>View Full Record in Web of Science</v>
      </c>
    </row>
    <row r="411" spans="1:72" x14ac:dyDescent="0.15">
      <c r="A411" t="s">
        <v>72</v>
      </c>
      <c r="B411" t="s">
        <v>6538</v>
      </c>
      <c r="C411" t="s">
        <v>74</v>
      </c>
      <c r="D411" t="s">
        <v>74</v>
      </c>
      <c r="E411" t="s">
        <v>74</v>
      </c>
      <c r="F411" t="s">
        <v>6538</v>
      </c>
      <c r="G411" t="s">
        <v>74</v>
      </c>
      <c r="H411" t="s">
        <v>74</v>
      </c>
      <c r="I411" t="s">
        <v>6539</v>
      </c>
      <c r="J411" t="s">
        <v>129</v>
      </c>
      <c r="K411" t="s">
        <v>74</v>
      </c>
      <c r="L411" t="s">
        <v>74</v>
      </c>
      <c r="M411" t="s">
        <v>78</v>
      </c>
      <c r="N411" t="s">
        <v>79</v>
      </c>
      <c r="O411" t="s">
        <v>74</v>
      </c>
      <c r="P411" t="s">
        <v>74</v>
      </c>
      <c r="Q411" t="s">
        <v>74</v>
      </c>
      <c r="R411" t="s">
        <v>74</v>
      </c>
      <c r="S411" t="s">
        <v>74</v>
      </c>
      <c r="T411" t="s">
        <v>74</v>
      </c>
      <c r="U411" t="s">
        <v>6540</v>
      </c>
      <c r="V411" t="s">
        <v>6541</v>
      </c>
      <c r="W411" t="s">
        <v>6542</v>
      </c>
      <c r="X411" t="s">
        <v>6543</v>
      </c>
      <c r="Y411" t="s">
        <v>6544</v>
      </c>
      <c r="Z411" t="s">
        <v>6545</v>
      </c>
      <c r="AA411" t="s">
        <v>6546</v>
      </c>
      <c r="AB411" t="s">
        <v>6547</v>
      </c>
      <c r="AC411" t="s">
        <v>74</v>
      </c>
      <c r="AD411" t="s">
        <v>74</v>
      </c>
      <c r="AE411" t="s">
        <v>74</v>
      </c>
      <c r="AF411" t="s">
        <v>74</v>
      </c>
      <c r="AG411">
        <v>58</v>
      </c>
      <c r="AH411">
        <v>30</v>
      </c>
      <c r="AI411">
        <v>33</v>
      </c>
      <c r="AJ411">
        <v>1</v>
      </c>
      <c r="AK411">
        <v>30</v>
      </c>
      <c r="AL411" t="s">
        <v>160</v>
      </c>
      <c r="AM411" t="s">
        <v>161</v>
      </c>
      <c r="AN411" t="s">
        <v>162</v>
      </c>
      <c r="AO411" t="s">
        <v>139</v>
      </c>
      <c r="AP411" t="s">
        <v>74</v>
      </c>
      <c r="AQ411" t="s">
        <v>74</v>
      </c>
      <c r="AR411" t="s">
        <v>141</v>
      </c>
      <c r="AS411" t="s">
        <v>142</v>
      </c>
      <c r="AT411" t="s">
        <v>6392</v>
      </c>
      <c r="AU411">
        <v>2006</v>
      </c>
      <c r="AV411">
        <v>38</v>
      </c>
      <c r="AW411">
        <v>2</v>
      </c>
      <c r="AX411" t="s">
        <v>74</v>
      </c>
      <c r="AY411" t="s">
        <v>74</v>
      </c>
      <c r="AZ411" t="s">
        <v>74</v>
      </c>
      <c r="BA411" t="s">
        <v>74</v>
      </c>
      <c r="BB411">
        <v>239</v>
      </c>
      <c r="BC411">
        <v>248</v>
      </c>
      <c r="BD411" t="s">
        <v>74</v>
      </c>
      <c r="BE411" t="s">
        <v>6548</v>
      </c>
      <c r="BF411" t="str">
        <f>HYPERLINK("http://dx.doi.org/10.1657/1523-0430(2006)38[239:ROAHOA]2.0.CO;2","http://dx.doi.org/10.1657/1523-0430(2006)38[239:ROAHOA]2.0.CO;2")</f>
        <v>http://dx.doi.org/10.1657/1523-0430(2006)38[239:ROAHOA]2.0.CO;2</v>
      </c>
      <c r="BG411" t="s">
        <v>74</v>
      </c>
      <c r="BH411" t="s">
        <v>74</v>
      </c>
      <c r="BI411">
        <v>10</v>
      </c>
      <c r="BJ411" t="s">
        <v>144</v>
      </c>
      <c r="BK411" t="s">
        <v>97</v>
      </c>
      <c r="BL411" t="s">
        <v>145</v>
      </c>
      <c r="BM411" t="s">
        <v>6429</v>
      </c>
      <c r="BN411" t="s">
        <v>74</v>
      </c>
      <c r="BO411" t="s">
        <v>147</v>
      </c>
      <c r="BP411" t="s">
        <v>74</v>
      </c>
      <c r="BQ411" t="s">
        <v>74</v>
      </c>
      <c r="BR411" t="s">
        <v>100</v>
      </c>
      <c r="BS411" t="s">
        <v>6549</v>
      </c>
      <c r="BT411" t="str">
        <f>HYPERLINK("https%3A%2F%2Fwww.webofscience.com%2Fwos%2Fwoscc%2Ffull-record%2FWOS:000237814100011","View Full Record in Web of Science")</f>
        <v>View Full Record in Web of Science</v>
      </c>
    </row>
    <row r="412" spans="1:72" x14ac:dyDescent="0.15">
      <c r="A412" t="s">
        <v>72</v>
      </c>
      <c r="B412" t="s">
        <v>6550</v>
      </c>
      <c r="C412" t="s">
        <v>74</v>
      </c>
      <c r="D412" t="s">
        <v>74</v>
      </c>
      <c r="E412" t="s">
        <v>74</v>
      </c>
      <c r="F412" t="s">
        <v>6551</v>
      </c>
      <c r="G412" t="s">
        <v>74</v>
      </c>
      <c r="H412" t="s">
        <v>74</v>
      </c>
      <c r="I412" t="s">
        <v>6552</v>
      </c>
      <c r="J412" t="s">
        <v>129</v>
      </c>
      <c r="K412" t="s">
        <v>74</v>
      </c>
      <c r="L412" t="s">
        <v>74</v>
      </c>
      <c r="M412" t="s">
        <v>78</v>
      </c>
      <c r="N412" t="s">
        <v>79</v>
      </c>
      <c r="O412" t="s">
        <v>74</v>
      </c>
      <c r="P412" t="s">
        <v>74</v>
      </c>
      <c r="Q412" t="s">
        <v>74</v>
      </c>
      <c r="R412" t="s">
        <v>74</v>
      </c>
      <c r="S412" t="s">
        <v>74</v>
      </c>
      <c r="T412" t="s">
        <v>74</v>
      </c>
      <c r="U412" t="s">
        <v>6553</v>
      </c>
      <c r="V412" t="s">
        <v>6554</v>
      </c>
      <c r="W412" t="s">
        <v>6555</v>
      </c>
      <c r="X412" t="s">
        <v>6556</v>
      </c>
      <c r="Y412" t="s">
        <v>6557</v>
      </c>
      <c r="Z412" t="s">
        <v>6558</v>
      </c>
      <c r="AA412" t="s">
        <v>6559</v>
      </c>
      <c r="AB412" t="s">
        <v>6560</v>
      </c>
      <c r="AC412" t="s">
        <v>74</v>
      </c>
      <c r="AD412" t="s">
        <v>74</v>
      </c>
      <c r="AE412" t="s">
        <v>74</v>
      </c>
      <c r="AF412" t="s">
        <v>74</v>
      </c>
      <c r="AG412">
        <v>36</v>
      </c>
      <c r="AH412">
        <v>45</v>
      </c>
      <c r="AI412">
        <v>62</v>
      </c>
      <c r="AJ412">
        <v>1</v>
      </c>
      <c r="AK412">
        <v>39</v>
      </c>
      <c r="AL412" t="s">
        <v>136</v>
      </c>
      <c r="AM412" t="s">
        <v>137</v>
      </c>
      <c r="AN412" t="s">
        <v>138</v>
      </c>
      <c r="AO412" t="s">
        <v>139</v>
      </c>
      <c r="AP412" t="s">
        <v>140</v>
      </c>
      <c r="AQ412" t="s">
        <v>74</v>
      </c>
      <c r="AR412" t="s">
        <v>141</v>
      </c>
      <c r="AS412" t="s">
        <v>142</v>
      </c>
      <c r="AT412" t="s">
        <v>6392</v>
      </c>
      <c r="AU412">
        <v>2006</v>
      </c>
      <c r="AV412">
        <v>38</v>
      </c>
      <c r="AW412">
        <v>2</v>
      </c>
      <c r="AX412" t="s">
        <v>74</v>
      </c>
      <c r="AY412" t="s">
        <v>74</v>
      </c>
      <c r="AZ412" t="s">
        <v>74</v>
      </c>
      <c r="BA412" t="s">
        <v>74</v>
      </c>
      <c r="BB412">
        <v>249</v>
      </c>
      <c r="BC412">
        <v>256</v>
      </c>
      <c r="BD412" t="s">
        <v>74</v>
      </c>
      <c r="BE412" t="s">
        <v>6561</v>
      </c>
      <c r="BF412" t="str">
        <f>HYPERLINK("http://dx.doi.org/10.1657/1523-0430(2006)38[249:CPOCIA]2.0.CO;2","http://dx.doi.org/10.1657/1523-0430(2006)38[249:CPOCIA]2.0.CO;2")</f>
        <v>http://dx.doi.org/10.1657/1523-0430(2006)38[249:CPOCIA]2.0.CO;2</v>
      </c>
      <c r="BG412" t="s">
        <v>74</v>
      </c>
      <c r="BH412" t="s">
        <v>74</v>
      </c>
      <c r="BI412">
        <v>8</v>
      </c>
      <c r="BJ412" t="s">
        <v>144</v>
      </c>
      <c r="BK412" t="s">
        <v>97</v>
      </c>
      <c r="BL412" t="s">
        <v>145</v>
      </c>
      <c r="BM412" t="s">
        <v>6429</v>
      </c>
      <c r="BN412" t="s">
        <v>74</v>
      </c>
      <c r="BO412" t="s">
        <v>74</v>
      </c>
      <c r="BP412" t="s">
        <v>74</v>
      </c>
      <c r="BQ412" t="s">
        <v>74</v>
      </c>
      <c r="BR412" t="s">
        <v>100</v>
      </c>
      <c r="BS412" t="s">
        <v>6562</v>
      </c>
      <c r="BT412" t="str">
        <f>HYPERLINK("https%3A%2F%2Fwww.webofscience.com%2Fwos%2Fwoscc%2Ffull-record%2FWOS:000237814100012","View Full Record in Web of Science")</f>
        <v>View Full Record in Web of Science</v>
      </c>
    </row>
    <row r="413" spans="1:72" x14ac:dyDescent="0.15">
      <c r="A413" t="s">
        <v>72</v>
      </c>
      <c r="B413" t="s">
        <v>6563</v>
      </c>
      <c r="C413" t="s">
        <v>74</v>
      </c>
      <c r="D413" t="s">
        <v>74</v>
      </c>
      <c r="E413" t="s">
        <v>74</v>
      </c>
      <c r="F413" t="s">
        <v>6564</v>
      </c>
      <c r="G413" t="s">
        <v>74</v>
      </c>
      <c r="H413" t="s">
        <v>74</v>
      </c>
      <c r="I413" t="s">
        <v>6565</v>
      </c>
      <c r="J413" t="s">
        <v>129</v>
      </c>
      <c r="K413" t="s">
        <v>74</v>
      </c>
      <c r="L413" t="s">
        <v>74</v>
      </c>
      <c r="M413" t="s">
        <v>78</v>
      </c>
      <c r="N413" t="s">
        <v>79</v>
      </c>
      <c r="O413" t="s">
        <v>74</v>
      </c>
      <c r="P413" t="s">
        <v>74</v>
      </c>
      <c r="Q413" t="s">
        <v>74</v>
      </c>
      <c r="R413" t="s">
        <v>74</v>
      </c>
      <c r="S413" t="s">
        <v>74</v>
      </c>
      <c r="T413" t="s">
        <v>74</v>
      </c>
      <c r="U413" t="s">
        <v>6566</v>
      </c>
      <c r="V413" t="s">
        <v>6567</v>
      </c>
      <c r="W413" t="s">
        <v>6568</v>
      </c>
      <c r="X413" t="s">
        <v>6569</v>
      </c>
      <c r="Y413" t="s">
        <v>6570</v>
      </c>
      <c r="Z413" t="s">
        <v>6571</v>
      </c>
      <c r="AA413" t="s">
        <v>6572</v>
      </c>
      <c r="AB413" t="s">
        <v>6573</v>
      </c>
      <c r="AC413" t="s">
        <v>74</v>
      </c>
      <c r="AD413" t="s">
        <v>74</v>
      </c>
      <c r="AE413" t="s">
        <v>74</v>
      </c>
      <c r="AF413" t="s">
        <v>74</v>
      </c>
      <c r="AG413">
        <v>38</v>
      </c>
      <c r="AH413">
        <v>64</v>
      </c>
      <c r="AI413">
        <v>75</v>
      </c>
      <c r="AJ413">
        <v>0</v>
      </c>
      <c r="AK413">
        <v>29</v>
      </c>
      <c r="AL413" t="s">
        <v>160</v>
      </c>
      <c r="AM413" t="s">
        <v>161</v>
      </c>
      <c r="AN413" t="s">
        <v>162</v>
      </c>
      <c r="AO413" t="s">
        <v>139</v>
      </c>
      <c r="AP413" t="s">
        <v>140</v>
      </c>
      <c r="AQ413" t="s">
        <v>74</v>
      </c>
      <c r="AR413" t="s">
        <v>141</v>
      </c>
      <c r="AS413" t="s">
        <v>142</v>
      </c>
      <c r="AT413" t="s">
        <v>6392</v>
      </c>
      <c r="AU413">
        <v>2006</v>
      </c>
      <c r="AV413">
        <v>38</v>
      </c>
      <c r="AW413">
        <v>2</v>
      </c>
      <c r="AX413" t="s">
        <v>74</v>
      </c>
      <c r="AY413" t="s">
        <v>74</v>
      </c>
      <c r="AZ413" t="s">
        <v>74</v>
      </c>
      <c r="BA413" t="s">
        <v>74</v>
      </c>
      <c r="BB413">
        <v>257</v>
      </c>
      <c r="BC413">
        <v>262</v>
      </c>
      <c r="BD413" t="s">
        <v>74</v>
      </c>
      <c r="BE413" t="s">
        <v>6574</v>
      </c>
      <c r="BF413" t="str">
        <f>HYPERLINK("http://dx.doi.org/10.1657/1523-0430(2006)38[257:RCSRUE]2.0.CO;2","http://dx.doi.org/10.1657/1523-0430(2006)38[257:RCSRUE]2.0.CO;2")</f>
        <v>http://dx.doi.org/10.1657/1523-0430(2006)38[257:RCSRUE]2.0.CO;2</v>
      </c>
      <c r="BG413" t="s">
        <v>74</v>
      </c>
      <c r="BH413" t="s">
        <v>74</v>
      </c>
      <c r="BI413">
        <v>6</v>
      </c>
      <c r="BJ413" t="s">
        <v>144</v>
      </c>
      <c r="BK413" t="s">
        <v>97</v>
      </c>
      <c r="BL413" t="s">
        <v>145</v>
      </c>
      <c r="BM413" t="s">
        <v>6429</v>
      </c>
      <c r="BN413" t="s">
        <v>74</v>
      </c>
      <c r="BO413" t="s">
        <v>147</v>
      </c>
      <c r="BP413" t="s">
        <v>74</v>
      </c>
      <c r="BQ413" t="s">
        <v>74</v>
      </c>
      <c r="BR413" t="s">
        <v>100</v>
      </c>
      <c r="BS413" t="s">
        <v>6575</v>
      </c>
      <c r="BT413" t="str">
        <f>HYPERLINK("https%3A%2F%2Fwww.webofscience.com%2Fwos%2Fwoscc%2Ffull-record%2FWOS:000237814100013","View Full Record in Web of Science")</f>
        <v>View Full Record in Web of Science</v>
      </c>
    </row>
    <row r="414" spans="1:72" x14ac:dyDescent="0.15">
      <c r="A414" t="s">
        <v>72</v>
      </c>
      <c r="B414" t="s">
        <v>6576</v>
      </c>
      <c r="C414" t="s">
        <v>74</v>
      </c>
      <c r="D414" t="s">
        <v>74</v>
      </c>
      <c r="E414" t="s">
        <v>74</v>
      </c>
      <c r="F414" t="s">
        <v>6577</v>
      </c>
      <c r="G414" t="s">
        <v>74</v>
      </c>
      <c r="H414" t="s">
        <v>74</v>
      </c>
      <c r="I414" t="s">
        <v>6578</v>
      </c>
      <c r="J414" t="s">
        <v>129</v>
      </c>
      <c r="K414" t="s">
        <v>74</v>
      </c>
      <c r="L414" t="s">
        <v>74</v>
      </c>
      <c r="M414" t="s">
        <v>78</v>
      </c>
      <c r="N414" t="s">
        <v>79</v>
      </c>
      <c r="O414" t="s">
        <v>74</v>
      </c>
      <c r="P414" t="s">
        <v>74</v>
      </c>
      <c r="Q414" t="s">
        <v>74</v>
      </c>
      <c r="R414" t="s">
        <v>74</v>
      </c>
      <c r="S414" t="s">
        <v>74</v>
      </c>
      <c r="T414" t="s">
        <v>74</v>
      </c>
      <c r="U414" t="s">
        <v>6579</v>
      </c>
      <c r="V414" t="s">
        <v>6580</v>
      </c>
      <c r="W414" t="s">
        <v>6581</v>
      </c>
      <c r="X414" t="s">
        <v>246</v>
      </c>
      <c r="Y414" t="s">
        <v>6582</v>
      </c>
      <c r="Z414" t="s">
        <v>6583</v>
      </c>
      <c r="AA414" t="s">
        <v>6584</v>
      </c>
      <c r="AB414" t="s">
        <v>6585</v>
      </c>
      <c r="AC414" t="s">
        <v>74</v>
      </c>
      <c r="AD414" t="s">
        <v>74</v>
      </c>
      <c r="AE414" t="s">
        <v>74</v>
      </c>
      <c r="AF414" t="s">
        <v>74</v>
      </c>
      <c r="AG414">
        <v>50</v>
      </c>
      <c r="AH414">
        <v>38</v>
      </c>
      <c r="AI414">
        <v>42</v>
      </c>
      <c r="AJ414">
        <v>0</v>
      </c>
      <c r="AK414">
        <v>66</v>
      </c>
      <c r="AL414" t="s">
        <v>136</v>
      </c>
      <c r="AM414" t="s">
        <v>137</v>
      </c>
      <c r="AN414" t="s">
        <v>138</v>
      </c>
      <c r="AO414" t="s">
        <v>139</v>
      </c>
      <c r="AP414" t="s">
        <v>140</v>
      </c>
      <c r="AQ414" t="s">
        <v>74</v>
      </c>
      <c r="AR414" t="s">
        <v>141</v>
      </c>
      <c r="AS414" t="s">
        <v>142</v>
      </c>
      <c r="AT414" t="s">
        <v>6392</v>
      </c>
      <c r="AU414">
        <v>2006</v>
      </c>
      <c r="AV414">
        <v>38</v>
      </c>
      <c r="AW414">
        <v>2</v>
      </c>
      <c r="AX414" t="s">
        <v>74</v>
      </c>
      <c r="AY414" t="s">
        <v>74</v>
      </c>
      <c r="AZ414" t="s">
        <v>74</v>
      </c>
      <c r="BA414" t="s">
        <v>74</v>
      </c>
      <c r="BB414">
        <v>263</v>
      </c>
      <c r="BC414">
        <v>272</v>
      </c>
      <c r="BD414" t="s">
        <v>74</v>
      </c>
      <c r="BE414" t="s">
        <v>6586</v>
      </c>
      <c r="BF414" t="str">
        <f>HYPERLINK("http://dx.doi.org/10.1657/1523-0430(2006)38[263:NFDAEN]2.0.CO;2","http://dx.doi.org/10.1657/1523-0430(2006)38[263:NFDAEN]2.0.CO;2")</f>
        <v>http://dx.doi.org/10.1657/1523-0430(2006)38[263:NFDAEN]2.0.CO;2</v>
      </c>
      <c r="BG414" t="s">
        <v>74</v>
      </c>
      <c r="BH414" t="s">
        <v>74</v>
      </c>
      <c r="BI414">
        <v>10</v>
      </c>
      <c r="BJ414" t="s">
        <v>144</v>
      </c>
      <c r="BK414" t="s">
        <v>97</v>
      </c>
      <c r="BL414" t="s">
        <v>145</v>
      </c>
      <c r="BM414" t="s">
        <v>6429</v>
      </c>
      <c r="BN414" t="s">
        <v>74</v>
      </c>
      <c r="BO414" t="s">
        <v>227</v>
      </c>
      <c r="BP414" t="s">
        <v>74</v>
      </c>
      <c r="BQ414" t="s">
        <v>74</v>
      </c>
      <c r="BR414" t="s">
        <v>100</v>
      </c>
      <c r="BS414" t="s">
        <v>6587</v>
      </c>
      <c r="BT414" t="str">
        <f>HYPERLINK("https%3A%2F%2Fwww.webofscience.com%2Fwos%2Fwoscc%2Ffull-record%2FWOS:000237814100014","View Full Record in Web of Science")</f>
        <v>View Full Record in Web of Science</v>
      </c>
    </row>
    <row r="415" spans="1:72" x14ac:dyDescent="0.15">
      <c r="A415" t="s">
        <v>72</v>
      </c>
      <c r="B415" t="s">
        <v>6588</v>
      </c>
      <c r="C415" t="s">
        <v>74</v>
      </c>
      <c r="D415" t="s">
        <v>74</v>
      </c>
      <c r="E415" t="s">
        <v>74</v>
      </c>
      <c r="F415" t="s">
        <v>6589</v>
      </c>
      <c r="G415" t="s">
        <v>74</v>
      </c>
      <c r="H415" t="s">
        <v>74</v>
      </c>
      <c r="I415" t="s">
        <v>6590</v>
      </c>
      <c r="J415" t="s">
        <v>129</v>
      </c>
      <c r="K415" t="s">
        <v>74</v>
      </c>
      <c r="L415" t="s">
        <v>74</v>
      </c>
      <c r="M415" t="s">
        <v>78</v>
      </c>
      <c r="N415" t="s">
        <v>79</v>
      </c>
      <c r="O415" t="s">
        <v>74</v>
      </c>
      <c r="P415" t="s">
        <v>74</v>
      </c>
      <c r="Q415" t="s">
        <v>74</v>
      </c>
      <c r="R415" t="s">
        <v>74</v>
      </c>
      <c r="S415" t="s">
        <v>74</v>
      </c>
      <c r="T415" t="s">
        <v>74</v>
      </c>
      <c r="U415" t="s">
        <v>6591</v>
      </c>
      <c r="V415" t="s">
        <v>6592</v>
      </c>
      <c r="W415" t="s">
        <v>6593</v>
      </c>
      <c r="X415" t="s">
        <v>6594</v>
      </c>
      <c r="Y415" t="s">
        <v>6595</v>
      </c>
      <c r="Z415" t="s">
        <v>6596</v>
      </c>
      <c r="AA415" t="s">
        <v>6597</v>
      </c>
      <c r="AB415" t="s">
        <v>74</v>
      </c>
      <c r="AC415" t="s">
        <v>74</v>
      </c>
      <c r="AD415" t="s">
        <v>74</v>
      </c>
      <c r="AE415" t="s">
        <v>74</v>
      </c>
      <c r="AF415" t="s">
        <v>74</v>
      </c>
      <c r="AG415">
        <v>11</v>
      </c>
      <c r="AH415">
        <v>11</v>
      </c>
      <c r="AI415">
        <v>14</v>
      </c>
      <c r="AJ415">
        <v>0</v>
      </c>
      <c r="AK415">
        <v>14</v>
      </c>
      <c r="AL415" t="s">
        <v>160</v>
      </c>
      <c r="AM415" t="s">
        <v>161</v>
      </c>
      <c r="AN415" t="s">
        <v>162</v>
      </c>
      <c r="AO415" t="s">
        <v>139</v>
      </c>
      <c r="AP415" t="s">
        <v>140</v>
      </c>
      <c r="AQ415" t="s">
        <v>74</v>
      </c>
      <c r="AR415" t="s">
        <v>141</v>
      </c>
      <c r="AS415" t="s">
        <v>142</v>
      </c>
      <c r="AT415" t="s">
        <v>6392</v>
      </c>
      <c r="AU415">
        <v>2006</v>
      </c>
      <c r="AV415">
        <v>38</v>
      </c>
      <c r="AW415">
        <v>2</v>
      </c>
      <c r="AX415" t="s">
        <v>74</v>
      </c>
      <c r="AY415" t="s">
        <v>74</v>
      </c>
      <c r="AZ415" t="s">
        <v>74</v>
      </c>
      <c r="BA415" t="s">
        <v>74</v>
      </c>
      <c r="BB415">
        <v>273</v>
      </c>
      <c r="BC415">
        <v>275</v>
      </c>
      <c r="BD415" t="s">
        <v>74</v>
      </c>
      <c r="BE415" t="s">
        <v>6598</v>
      </c>
      <c r="BF415" t="str">
        <f>HYPERLINK("http://dx.doi.org/10.1657/1523-0430(2006)38[273:AFBIFT]2.0.CO;2","http://dx.doi.org/10.1657/1523-0430(2006)38[273:AFBIFT]2.0.CO;2")</f>
        <v>http://dx.doi.org/10.1657/1523-0430(2006)38[273:AFBIFT]2.0.CO;2</v>
      </c>
      <c r="BG415" t="s">
        <v>74</v>
      </c>
      <c r="BH415" t="s">
        <v>74</v>
      </c>
      <c r="BI415">
        <v>3</v>
      </c>
      <c r="BJ415" t="s">
        <v>144</v>
      </c>
      <c r="BK415" t="s">
        <v>97</v>
      </c>
      <c r="BL415" t="s">
        <v>145</v>
      </c>
      <c r="BM415" t="s">
        <v>6429</v>
      </c>
      <c r="BN415" t="s">
        <v>74</v>
      </c>
      <c r="BO415" t="s">
        <v>147</v>
      </c>
      <c r="BP415" t="s">
        <v>74</v>
      </c>
      <c r="BQ415" t="s">
        <v>74</v>
      </c>
      <c r="BR415" t="s">
        <v>100</v>
      </c>
      <c r="BS415" t="s">
        <v>6599</v>
      </c>
      <c r="BT415" t="str">
        <f>HYPERLINK("https%3A%2F%2Fwww.webofscience.com%2Fwos%2Fwoscc%2Ffull-record%2FWOS:000237814100015","View Full Record in Web of Science")</f>
        <v>View Full Record in Web of Science</v>
      </c>
    </row>
    <row r="416" spans="1:72" x14ac:dyDescent="0.15">
      <c r="A416" t="s">
        <v>72</v>
      </c>
      <c r="B416" t="s">
        <v>6600</v>
      </c>
      <c r="C416" t="s">
        <v>74</v>
      </c>
      <c r="D416" t="s">
        <v>74</v>
      </c>
      <c r="E416" t="s">
        <v>74</v>
      </c>
      <c r="F416" t="s">
        <v>6600</v>
      </c>
      <c r="G416" t="s">
        <v>74</v>
      </c>
      <c r="H416" t="s">
        <v>74</v>
      </c>
      <c r="I416" t="s">
        <v>6601</v>
      </c>
      <c r="J416" t="s">
        <v>129</v>
      </c>
      <c r="K416" t="s">
        <v>74</v>
      </c>
      <c r="L416" t="s">
        <v>74</v>
      </c>
      <c r="M416" t="s">
        <v>78</v>
      </c>
      <c r="N416" t="s">
        <v>79</v>
      </c>
      <c r="O416" t="s">
        <v>74</v>
      </c>
      <c r="P416" t="s">
        <v>74</v>
      </c>
      <c r="Q416" t="s">
        <v>74</v>
      </c>
      <c r="R416" t="s">
        <v>74</v>
      </c>
      <c r="S416" t="s">
        <v>74</v>
      </c>
      <c r="T416" t="s">
        <v>74</v>
      </c>
      <c r="U416" t="s">
        <v>6602</v>
      </c>
      <c r="V416" t="s">
        <v>6603</v>
      </c>
      <c r="W416" t="s">
        <v>6604</v>
      </c>
      <c r="X416" t="s">
        <v>6605</v>
      </c>
      <c r="Y416" t="s">
        <v>6606</v>
      </c>
      <c r="Z416" t="s">
        <v>6607</v>
      </c>
      <c r="AA416" t="s">
        <v>74</v>
      </c>
      <c r="AB416" t="s">
        <v>74</v>
      </c>
      <c r="AC416" t="s">
        <v>74</v>
      </c>
      <c r="AD416" t="s">
        <v>74</v>
      </c>
      <c r="AE416" t="s">
        <v>74</v>
      </c>
      <c r="AF416" t="s">
        <v>74</v>
      </c>
      <c r="AG416">
        <v>22</v>
      </c>
      <c r="AH416">
        <v>25</v>
      </c>
      <c r="AI416">
        <v>26</v>
      </c>
      <c r="AJ416">
        <v>0</v>
      </c>
      <c r="AK416">
        <v>12</v>
      </c>
      <c r="AL416" t="s">
        <v>160</v>
      </c>
      <c r="AM416" t="s">
        <v>161</v>
      </c>
      <c r="AN416" t="s">
        <v>162</v>
      </c>
      <c r="AO416" t="s">
        <v>139</v>
      </c>
      <c r="AP416" t="s">
        <v>74</v>
      </c>
      <c r="AQ416" t="s">
        <v>74</v>
      </c>
      <c r="AR416" t="s">
        <v>141</v>
      </c>
      <c r="AS416" t="s">
        <v>142</v>
      </c>
      <c r="AT416" t="s">
        <v>6392</v>
      </c>
      <c r="AU416">
        <v>2006</v>
      </c>
      <c r="AV416">
        <v>38</v>
      </c>
      <c r="AW416">
        <v>2</v>
      </c>
      <c r="AX416" t="s">
        <v>74</v>
      </c>
      <c r="AY416" t="s">
        <v>74</v>
      </c>
      <c r="AZ416" t="s">
        <v>74</v>
      </c>
      <c r="BA416" t="s">
        <v>74</v>
      </c>
      <c r="BB416">
        <v>276</v>
      </c>
      <c r="BC416">
        <v>291</v>
      </c>
      <c r="BD416" t="s">
        <v>74</v>
      </c>
      <c r="BE416" t="s">
        <v>6608</v>
      </c>
      <c r="BF416" t="str">
        <f>HYPERLINK("http://dx.doi.org/10.1657/1523-0430(2006)38[276:TMOPAL]2.0.CO;2","http://dx.doi.org/10.1657/1523-0430(2006)38[276:TMOPAL]2.0.CO;2")</f>
        <v>http://dx.doi.org/10.1657/1523-0430(2006)38[276:TMOPAL]2.0.CO;2</v>
      </c>
      <c r="BG416" t="s">
        <v>74</v>
      </c>
      <c r="BH416" t="s">
        <v>74</v>
      </c>
      <c r="BI416">
        <v>16</v>
      </c>
      <c r="BJ416" t="s">
        <v>144</v>
      </c>
      <c r="BK416" t="s">
        <v>97</v>
      </c>
      <c r="BL416" t="s">
        <v>145</v>
      </c>
      <c r="BM416" t="s">
        <v>6429</v>
      </c>
      <c r="BN416" t="s">
        <v>74</v>
      </c>
      <c r="BO416" t="s">
        <v>147</v>
      </c>
      <c r="BP416" t="s">
        <v>74</v>
      </c>
      <c r="BQ416" t="s">
        <v>74</v>
      </c>
      <c r="BR416" t="s">
        <v>100</v>
      </c>
      <c r="BS416" t="s">
        <v>6609</v>
      </c>
      <c r="BT416" t="str">
        <f>HYPERLINK("https%3A%2F%2Fwww.webofscience.com%2Fwos%2Fwoscc%2Ffull-record%2FWOS:000237814100016","View Full Record in Web of Science")</f>
        <v>View Full Record in Web of Science</v>
      </c>
    </row>
    <row r="417" spans="1:72" x14ac:dyDescent="0.15">
      <c r="A417" t="s">
        <v>72</v>
      </c>
      <c r="B417" t="s">
        <v>6610</v>
      </c>
      <c r="C417" t="s">
        <v>74</v>
      </c>
      <c r="D417" t="s">
        <v>74</v>
      </c>
      <c r="E417" t="s">
        <v>74</v>
      </c>
      <c r="F417" t="s">
        <v>6611</v>
      </c>
      <c r="G417" t="s">
        <v>74</v>
      </c>
      <c r="H417" t="s">
        <v>74</v>
      </c>
      <c r="I417" t="s">
        <v>6612</v>
      </c>
      <c r="J417" t="s">
        <v>129</v>
      </c>
      <c r="K417" t="s">
        <v>74</v>
      </c>
      <c r="L417" t="s">
        <v>74</v>
      </c>
      <c r="M417" t="s">
        <v>78</v>
      </c>
      <c r="N417" t="s">
        <v>79</v>
      </c>
      <c r="O417" t="s">
        <v>74</v>
      </c>
      <c r="P417" t="s">
        <v>74</v>
      </c>
      <c r="Q417" t="s">
        <v>74</v>
      </c>
      <c r="R417" t="s">
        <v>74</v>
      </c>
      <c r="S417" t="s">
        <v>74</v>
      </c>
      <c r="T417" t="s">
        <v>74</v>
      </c>
      <c r="U417" t="s">
        <v>6613</v>
      </c>
      <c r="V417" t="s">
        <v>6614</v>
      </c>
      <c r="W417" t="s">
        <v>6615</v>
      </c>
      <c r="X417" t="s">
        <v>6616</v>
      </c>
      <c r="Y417" t="s">
        <v>6617</v>
      </c>
      <c r="Z417" t="s">
        <v>6618</v>
      </c>
      <c r="AA417" t="s">
        <v>6619</v>
      </c>
      <c r="AB417" t="s">
        <v>6620</v>
      </c>
      <c r="AC417" t="s">
        <v>74</v>
      </c>
      <c r="AD417" t="s">
        <v>74</v>
      </c>
      <c r="AE417" t="s">
        <v>74</v>
      </c>
      <c r="AF417" t="s">
        <v>74</v>
      </c>
      <c r="AG417">
        <v>46</v>
      </c>
      <c r="AH417">
        <v>4</v>
      </c>
      <c r="AI417">
        <v>5</v>
      </c>
      <c r="AJ417">
        <v>1</v>
      </c>
      <c r="AK417">
        <v>5</v>
      </c>
      <c r="AL417" t="s">
        <v>136</v>
      </c>
      <c r="AM417" t="s">
        <v>137</v>
      </c>
      <c r="AN417" t="s">
        <v>138</v>
      </c>
      <c r="AO417" t="s">
        <v>139</v>
      </c>
      <c r="AP417" t="s">
        <v>140</v>
      </c>
      <c r="AQ417" t="s">
        <v>74</v>
      </c>
      <c r="AR417" t="s">
        <v>141</v>
      </c>
      <c r="AS417" t="s">
        <v>142</v>
      </c>
      <c r="AT417" t="s">
        <v>6392</v>
      </c>
      <c r="AU417">
        <v>2006</v>
      </c>
      <c r="AV417">
        <v>38</v>
      </c>
      <c r="AW417">
        <v>2</v>
      </c>
      <c r="AX417" t="s">
        <v>74</v>
      </c>
      <c r="AY417" t="s">
        <v>74</v>
      </c>
      <c r="AZ417" t="s">
        <v>74</v>
      </c>
      <c r="BA417" t="s">
        <v>74</v>
      </c>
      <c r="BB417">
        <v>292</v>
      </c>
      <c r="BC417">
        <v>300</v>
      </c>
      <c r="BD417" t="s">
        <v>74</v>
      </c>
      <c r="BE417" t="s">
        <v>6621</v>
      </c>
      <c r="BF417" t="str">
        <f>HYPERLINK("http://dx.doi.org/10.1657/1523-0430(2006)38[292:DOPRMA]2.0.CO;2","http://dx.doi.org/10.1657/1523-0430(2006)38[292:DOPRMA]2.0.CO;2")</f>
        <v>http://dx.doi.org/10.1657/1523-0430(2006)38[292:DOPRMA]2.0.CO;2</v>
      </c>
      <c r="BG417" t="s">
        <v>74</v>
      </c>
      <c r="BH417" t="s">
        <v>74</v>
      </c>
      <c r="BI417">
        <v>9</v>
      </c>
      <c r="BJ417" t="s">
        <v>144</v>
      </c>
      <c r="BK417" t="s">
        <v>97</v>
      </c>
      <c r="BL417" t="s">
        <v>145</v>
      </c>
      <c r="BM417" t="s">
        <v>6429</v>
      </c>
      <c r="BN417" t="s">
        <v>74</v>
      </c>
      <c r="BO417" t="s">
        <v>147</v>
      </c>
      <c r="BP417" t="s">
        <v>74</v>
      </c>
      <c r="BQ417" t="s">
        <v>74</v>
      </c>
      <c r="BR417" t="s">
        <v>100</v>
      </c>
      <c r="BS417" t="s">
        <v>6622</v>
      </c>
      <c r="BT417" t="str">
        <f>HYPERLINK("https%3A%2F%2Fwww.webofscience.com%2Fwos%2Fwoscc%2Ffull-record%2FWOS:000237814100017","View Full Record in Web of Science")</f>
        <v>View Full Record in Web of Science</v>
      </c>
    </row>
    <row r="418" spans="1:72" x14ac:dyDescent="0.15">
      <c r="A418" t="s">
        <v>72</v>
      </c>
      <c r="B418" t="s">
        <v>6623</v>
      </c>
      <c r="C418" t="s">
        <v>74</v>
      </c>
      <c r="D418" t="s">
        <v>74</v>
      </c>
      <c r="E418" t="s">
        <v>74</v>
      </c>
      <c r="F418" t="s">
        <v>6623</v>
      </c>
      <c r="G418" t="s">
        <v>74</v>
      </c>
      <c r="H418" t="s">
        <v>74</v>
      </c>
      <c r="I418" t="s">
        <v>6624</v>
      </c>
      <c r="J418" t="s">
        <v>2622</v>
      </c>
      <c r="K418" t="s">
        <v>74</v>
      </c>
      <c r="L418" t="s">
        <v>74</v>
      </c>
      <c r="M418" t="s">
        <v>78</v>
      </c>
      <c r="N418" t="s">
        <v>79</v>
      </c>
      <c r="O418" t="s">
        <v>74</v>
      </c>
      <c r="P418" t="s">
        <v>74</v>
      </c>
      <c r="Q418" t="s">
        <v>74</v>
      </c>
      <c r="R418" t="s">
        <v>74</v>
      </c>
      <c r="S418" t="s">
        <v>74</v>
      </c>
      <c r="T418" t="s">
        <v>6625</v>
      </c>
      <c r="U418" t="s">
        <v>6626</v>
      </c>
      <c r="V418" t="s">
        <v>6627</v>
      </c>
      <c r="W418" t="s">
        <v>1168</v>
      </c>
      <c r="X418" t="s">
        <v>407</v>
      </c>
      <c r="Y418" t="s">
        <v>6628</v>
      </c>
      <c r="Z418" t="s">
        <v>6629</v>
      </c>
      <c r="AA418" t="s">
        <v>74</v>
      </c>
      <c r="AB418" t="s">
        <v>74</v>
      </c>
      <c r="AC418" t="s">
        <v>1550</v>
      </c>
      <c r="AD418" t="s">
        <v>1328</v>
      </c>
      <c r="AE418" t="s">
        <v>74</v>
      </c>
      <c r="AF418" t="s">
        <v>74</v>
      </c>
      <c r="AG418">
        <v>56</v>
      </c>
      <c r="AH418">
        <v>182</v>
      </c>
      <c r="AI418">
        <v>195</v>
      </c>
      <c r="AJ418">
        <v>1</v>
      </c>
      <c r="AK418">
        <v>67</v>
      </c>
      <c r="AL418" t="s">
        <v>2630</v>
      </c>
      <c r="AM418" t="s">
        <v>388</v>
      </c>
      <c r="AN418" t="s">
        <v>2631</v>
      </c>
      <c r="AO418" t="s">
        <v>2632</v>
      </c>
      <c r="AP418" t="s">
        <v>4788</v>
      </c>
      <c r="AQ418" t="s">
        <v>74</v>
      </c>
      <c r="AR418" t="s">
        <v>2633</v>
      </c>
      <c r="AS418" t="s">
        <v>2634</v>
      </c>
      <c r="AT418" t="s">
        <v>6392</v>
      </c>
      <c r="AU418">
        <v>2006</v>
      </c>
      <c r="AV418">
        <v>129</v>
      </c>
      <c r="AW418">
        <v>3</v>
      </c>
      <c r="AX418" t="s">
        <v>74</v>
      </c>
      <c r="AY418" t="s">
        <v>74</v>
      </c>
      <c r="AZ418" t="s">
        <v>74</v>
      </c>
      <c r="BA418" t="s">
        <v>74</v>
      </c>
      <c r="BB418">
        <v>336</v>
      </c>
      <c r="BC418">
        <v>347</v>
      </c>
      <c r="BD418" t="s">
        <v>74</v>
      </c>
      <c r="BE418" t="s">
        <v>6630</v>
      </c>
      <c r="BF418" t="str">
        <f>HYPERLINK("http://dx.doi.org/10.1016/j.biocon.2005.10.046","http://dx.doi.org/10.1016/j.biocon.2005.10.046")</f>
        <v>http://dx.doi.org/10.1016/j.biocon.2005.10.046</v>
      </c>
      <c r="BG418" t="s">
        <v>74</v>
      </c>
      <c r="BH418" t="s">
        <v>74</v>
      </c>
      <c r="BI418">
        <v>12</v>
      </c>
      <c r="BJ418" t="s">
        <v>2637</v>
      </c>
      <c r="BK418" t="s">
        <v>97</v>
      </c>
      <c r="BL418" t="s">
        <v>1526</v>
      </c>
      <c r="BM418" t="s">
        <v>6631</v>
      </c>
      <c r="BN418" t="s">
        <v>74</v>
      </c>
      <c r="BO418" t="s">
        <v>74</v>
      </c>
      <c r="BP418" t="s">
        <v>74</v>
      </c>
      <c r="BQ418" t="s">
        <v>74</v>
      </c>
      <c r="BR418" t="s">
        <v>100</v>
      </c>
      <c r="BS418" t="s">
        <v>6632</v>
      </c>
      <c r="BT418" t="str">
        <f>HYPERLINK("https%3A%2F%2Fwww.webofscience.com%2Fwos%2Fwoscc%2Ffull-record%2FWOS:000236959600005","View Full Record in Web of Science")</f>
        <v>View Full Record in Web of Science</v>
      </c>
    </row>
    <row r="419" spans="1:72" x14ac:dyDescent="0.15">
      <c r="A419" t="s">
        <v>72</v>
      </c>
      <c r="B419" t="s">
        <v>6633</v>
      </c>
      <c r="C419" t="s">
        <v>74</v>
      </c>
      <c r="D419" t="s">
        <v>74</v>
      </c>
      <c r="E419" t="s">
        <v>74</v>
      </c>
      <c r="F419" t="s">
        <v>6634</v>
      </c>
      <c r="G419" t="s">
        <v>74</v>
      </c>
      <c r="H419" t="s">
        <v>74</v>
      </c>
      <c r="I419" t="s">
        <v>6635</v>
      </c>
      <c r="J419" t="s">
        <v>6636</v>
      </c>
      <c r="K419" t="s">
        <v>74</v>
      </c>
      <c r="L419" t="s">
        <v>74</v>
      </c>
      <c r="M419" t="s">
        <v>78</v>
      </c>
      <c r="N419" t="s">
        <v>79</v>
      </c>
      <c r="O419" t="s">
        <v>74</v>
      </c>
      <c r="P419" t="s">
        <v>74</v>
      </c>
      <c r="Q419" t="s">
        <v>74</v>
      </c>
      <c r="R419" t="s">
        <v>74</v>
      </c>
      <c r="S419" t="s">
        <v>74</v>
      </c>
      <c r="T419" t="s">
        <v>74</v>
      </c>
      <c r="U419" t="s">
        <v>6637</v>
      </c>
      <c r="V419" t="s">
        <v>6638</v>
      </c>
      <c r="W419" t="s">
        <v>6639</v>
      </c>
      <c r="X419" t="s">
        <v>6640</v>
      </c>
      <c r="Y419" t="s">
        <v>6641</v>
      </c>
      <c r="Z419" t="s">
        <v>6642</v>
      </c>
      <c r="AA419" t="s">
        <v>6643</v>
      </c>
      <c r="AB419" t="s">
        <v>6644</v>
      </c>
      <c r="AC419" t="s">
        <v>74</v>
      </c>
      <c r="AD419" t="s">
        <v>74</v>
      </c>
      <c r="AE419" t="s">
        <v>74</v>
      </c>
      <c r="AF419" t="s">
        <v>74</v>
      </c>
      <c r="AG419">
        <v>54</v>
      </c>
      <c r="AH419">
        <v>47</v>
      </c>
      <c r="AI419">
        <v>55</v>
      </c>
      <c r="AJ419">
        <v>0</v>
      </c>
      <c r="AK419">
        <v>22</v>
      </c>
      <c r="AL419" t="s">
        <v>6645</v>
      </c>
      <c r="AM419" t="s">
        <v>2652</v>
      </c>
      <c r="AN419" t="s">
        <v>4868</v>
      </c>
      <c r="AO419" t="s">
        <v>6646</v>
      </c>
      <c r="AP419" t="s">
        <v>6647</v>
      </c>
      <c r="AQ419" t="s">
        <v>74</v>
      </c>
      <c r="AR419" t="s">
        <v>6648</v>
      </c>
      <c r="AS419" t="s">
        <v>6649</v>
      </c>
      <c r="AT419" t="s">
        <v>6392</v>
      </c>
      <c r="AU419">
        <v>2006</v>
      </c>
      <c r="AV419">
        <v>43</v>
      </c>
      <c r="AW419">
        <v>5</v>
      </c>
      <c r="AX419" t="s">
        <v>74</v>
      </c>
      <c r="AY419" t="s">
        <v>74</v>
      </c>
      <c r="AZ419" t="s">
        <v>74</v>
      </c>
      <c r="BA419" t="s">
        <v>74</v>
      </c>
      <c r="BB419">
        <v>533</v>
      </c>
      <c r="BC419">
        <v>546</v>
      </c>
      <c r="BD419" t="s">
        <v>74</v>
      </c>
      <c r="BE419" t="s">
        <v>6650</v>
      </c>
      <c r="BF419" t="str">
        <f>HYPERLINK("http://dx.doi.org/10.1139/E06-003","http://dx.doi.org/10.1139/E06-003")</f>
        <v>http://dx.doi.org/10.1139/E06-003</v>
      </c>
      <c r="BG419" t="s">
        <v>74</v>
      </c>
      <c r="BH419" t="s">
        <v>74</v>
      </c>
      <c r="BI419">
        <v>14</v>
      </c>
      <c r="BJ419" t="s">
        <v>527</v>
      </c>
      <c r="BK419" t="s">
        <v>97</v>
      </c>
      <c r="BL419" t="s">
        <v>528</v>
      </c>
      <c r="BM419" t="s">
        <v>6651</v>
      </c>
      <c r="BN419" t="s">
        <v>74</v>
      </c>
      <c r="BO419" t="s">
        <v>74</v>
      </c>
      <c r="BP419" t="s">
        <v>74</v>
      </c>
      <c r="BQ419" t="s">
        <v>74</v>
      </c>
      <c r="BR419" t="s">
        <v>100</v>
      </c>
      <c r="BS419" t="s">
        <v>6652</v>
      </c>
      <c r="BT419" t="str">
        <f>HYPERLINK("https%3A%2F%2Fwww.webofscience.com%2Fwos%2Fwoscc%2Ffull-record%2FWOS:000238678300001","View Full Record in Web of Science")</f>
        <v>View Full Record in Web of Science</v>
      </c>
    </row>
    <row r="420" spans="1:72" x14ac:dyDescent="0.15">
      <c r="A420" t="s">
        <v>72</v>
      </c>
      <c r="B420" t="s">
        <v>6653</v>
      </c>
      <c r="C420" t="s">
        <v>74</v>
      </c>
      <c r="D420" t="s">
        <v>74</v>
      </c>
      <c r="E420" t="s">
        <v>74</v>
      </c>
      <c r="F420" t="s">
        <v>6654</v>
      </c>
      <c r="G420" t="s">
        <v>74</v>
      </c>
      <c r="H420" t="s">
        <v>74</v>
      </c>
      <c r="I420" t="s">
        <v>6655</v>
      </c>
      <c r="J420" t="s">
        <v>426</v>
      </c>
      <c r="K420" t="s">
        <v>74</v>
      </c>
      <c r="L420" t="s">
        <v>74</v>
      </c>
      <c r="M420" t="s">
        <v>78</v>
      </c>
      <c r="N420" t="s">
        <v>79</v>
      </c>
      <c r="O420" t="s">
        <v>74</v>
      </c>
      <c r="P420" t="s">
        <v>74</v>
      </c>
      <c r="Q420" t="s">
        <v>74</v>
      </c>
      <c r="R420" t="s">
        <v>74</v>
      </c>
      <c r="S420" t="s">
        <v>74</v>
      </c>
      <c r="T420" t="s">
        <v>6656</v>
      </c>
      <c r="U420" t="s">
        <v>6657</v>
      </c>
      <c r="V420" t="s">
        <v>6658</v>
      </c>
      <c r="W420" t="s">
        <v>6659</v>
      </c>
      <c r="X420" t="s">
        <v>6660</v>
      </c>
      <c r="Y420" t="s">
        <v>6661</v>
      </c>
      <c r="Z420" t="s">
        <v>6662</v>
      </c>
      <c r="AA420" t="s">
        <v>6663</v>
      </c>
      <c r="AB420" t="s">
        <v>74</v>
      </c>
      <c r="AC420" t="s">
        <v>74</v>
      </c>
      <c r="AD420" t="s">
        <v>74</v>
      </c>
      <c r="AE420" t="s">
        <v>74</v>
      </c>
      <c r="AF420" t="s">
        <v>74</v>
      </c>
      <c r="AG420">
        <v>19</v>
      </c>
      <c r="AH420">
        <v>8</v>
      </c>
      <c r="AI420">
        <v>9</v>
      </c>
      <c r="AJ420">
        <v>0</v>
      </c>
      <c r="AK420">
        <v>8</v>
      </c>
      <c r="AL420" t="s">
        <v>387</v>
      </c>
      <c r="AM420" t="s">
        <v>388</v>
      </c>
      <c r="AN420" t="s">
        <v>389</v>
      </c>
      <c r="AO420" t="s">
        <v>435</v>
      </c>
      <c r="AP420" t="s">
        <v>436</v>
      </c>
      <c r="AQ420" t="s">
        <v>74</v>
      </c>
      <c r="AR420" t="s">
        <v>426</v>
      </c>
      <c r="AS420" t="s">
        <v>437</v>
      </c>
      <c r="AT420" t="s">
        <v>6392</v>
      </c>
      <c r="AU420">
        <v>2006</v>
      </c>
      <c r="AV420">
        <v>63</v>
      </c>
      <c r="AW420">
        <v>7</v>
      </c>
      <c r="AX420" t="s">
        <v>74</v>
      </c>
      <c r="AY420" t="s">
        <v>74</v>
      </c>
      <c r="AZ420" t="s">
        <v>74</v>
      </c>
      <c r="BA420" t="s">
        <v>74</v>
      </c>
      <c r="BB420">
        <v>1209</v>
      </c>
      <c r="BC420">
        <v>1213</v>
      </c>
      <c r="BD420" t="s">
        <v>74</v>
      </c>
      <c r="BE420" t="s">
        <v>6664</v>
      </c>
      <c r="BF420" t="str">
        <f>HYPERLINK("http://dx.doi.org/10.1016/j.chemosphere.2005.08.075","http://dx.doi.org/10.1016/j.chemosphere.2005.08.075")</f>
        <v>http://dx.doi.org/10.1016/j.chemosphere.2005.08.075</v>
      </c>
      <c r="BG420" t="s">
        <v>74</v>
      </c>
      <c r="BH420" t="s">
        <v>74</v>
      </c>
      <c r="BI420">
        <v>5</v>
      </c>
      <c r="BJ420" t="s">
        <v>439</v>
      </c>
      <c r="BK420" t="s">
        <v>97</v>
      </c>
      <c r="BL420" t="s">
        <v>420</v>
      </c>
      <c r="BM420" t="s">
        <v>6665</v>
      </c>
      <c r="BN420">
        <v>16303165</v>
      </c>
      <c r="BO420" t="s">
        <v>74</v>
      </c>
      <c r="BP420" t="s">
        <v>74</v>
      </c>
      <c r="BQ420" t="s">
        <v>74</v>
      </c>
      <c r="BR420" t="s">
        <v>100</v>
      </c>
      <c r="BS420" t="s">
        <v>6666</v>
      </c>
      <c r="BT420" t="str">
        <f>HYPERLINK("https%3A%2F%2Fwww.webofscience.com%2Fwos%2Fwoscc%2Ffull-record%2FWOS:000237838900018","View Full Record in Web of Science")</f>
        <v>View Full Record in Web of Science</v>
      </c>
    </row>
    <row r="421" spans="1:72" x14ac:dyDescent="0.15">
      <c r="A421" t="s">
        <v>72</v>
      </c>
      <c r="B421" t="s">
        <v>6667</v>
      </c>
      <c r="C421" t="s">
        <v>74</v>
      </c>
      <c r="D421" t="s">
        <v>74</v>
      </c>
      <c r="E421" t="s">
        <v>74</v>
      </c>
      <c r="F421" t="s">
        <v>6668</v>
      </c>
      <c r="G421" t="s">
        <v>74</v>
      </c>
      <c r="H421" t="s">
        <v>74</v>
      </c>
      <c r="I421" t="s">
        <v>6669</v>
      </c>
      <c r="J421" t="s">
        <v>6670</v>
      </c>
      <c r="K421" t="s">
        <v>74</v>
      </c>
      <c r="L421" t="s">
        <v>74</v>
      </c>
      <c r="M421" t="s">
        <v>6671</v>
      </c>
      <c r="N421" t="s">
        <v>79</v>
      </c>
      <c r="O421" t="s">
        <v>74</v>
      </c>
      <c r="P421" t="s">
        <v>74</v>
      </c>
      <c r="Q421" t="s">
        <v>74</v>
      </c>
      <c r="R421" t="s">
        <v>74</v>
      </c>
      <c r="S421" t="s">
        <v>74</v>
      </c>
      <c r="T421" t="s">
        <v>6672</v>
      </c>
      <c r="U421" t="s">
        <v>6673</v>
      </c>
      <c r="V421" t="s">
        <v>6674</v>
      </c>
      <c r="W421" t="s">
        <v>6675</v>
      </c>
      <c r="X421" t="s">
        <v>6676</v>
      </c>
      <c r="Y421" t="s">
        <v>6677</v>
      </c>
      <c r="Z421" t="s">
        <v>6678</v>
      </c>
      <c r="AA421" t="s">
        <v>6679</v>
      </c>
      <c r="AB421" t="s">
        <v>74</v>
      </c>
      <c r="AC421" t="s">
        <v>74</v>
      </c>
      <c r="AD421" t="s">
        <v>74</v>
      </c>
      <c r="AE421" t="s">
        <v>74</v>
      </c>
      <c r="AF421" t="s">
        <v>74</v>
      </c>
      <c r="AG421">
        <v>21</v>
      </c>
      <c r="AH421">
        <v>38</v>
      </c>
      <c r="AI421">
        <v>81</v>
      </c>
      <c r="AJ421">
        <v>0</v>
      </c>
      <c r="AK421">
        <v>11</v>
      </c>
      <c r="AL421" t="s">
        <v>5623</v>
      </c>
      <c r="AM421" t="s">
        <v>5624</v>
      </c>
      <c r="AN421" t="s">
        <v>5625</v>
      </c>
      <c r="AO421" t="s">
        <v>6680</v>
      </c>
      <c r="AP421" t="s">
        <v>74</v>
      </c>
      <c r="AQ421" t="s">
        <v>74</v>
      </c>
      <c r="AR421" t="s">
        <v>6681</v>
      </c>
      <c r="AS421" t="s">
        <v>6682</v>
      </c>
      <c r="AT421" t="s">
        <v>6392</v>
      </c>
      <c r="AU421">
        <v>2006</v>
      </c>
      <c r="AV421">
        <v>49</v>
      </c>
      <c r="AW421">
        <v>3</v>
      </c>
      <c r="AX421" t="s">
        <v>74</v>
      </c>
      <c r="AY421" t="s">
        <v>74</v>
      </c>
      <c r="AZ421" t="s">
        <v>74</v>
      </c>
      <c r="BA421" t="s">
        <v>74</v>
      </c>
      <c r="BB421">
        <v>672</v>
      </c>
      <c r="BC421">
        <v>679</v>
      </c>
      <c r="BD421" t="s">
        <v>74</v>
      </c>
      <c r="BE421" t="s">
        <v>74</v>
      </c>
      <c r="BF421" t="s">
        <v>74</v>
      </c>
      <c r="BG421" t="s">
        <v>74</v>
      </c>
      <c r="BH421" t="s">
        <v>74</v>
      </c>
      <c r="BI421">
        <v>8</v>
      </c>
      <c r="BJ421" t="s">
        <v>608</v>
      </c>
      <c r="BK421" t="s">
        <v>97</v>
      </c>
      <c r="BL421" t="s">
        <v>608</v>
      </c>
      <c r="BM421" t="s">
        <v>6683</v>
      </c>
      <c r="BN421" t="s">
        <v>74</v>
      </c>
      <c r="BO421" t="s">
        <v>74</v>
      </c>
      <c r="BP421" t="s">
        <v>74</v>
      </c>
      <c r="BQ421" t="s">
        <v>74</v>
      </c>
      <c r="BR421" t="s">
        <v>100</v>
      </c>
      <c r="BS421" t="s">
        <v>6684</v>
      </c>
      <c r="BT421" t="str">
        <f>HYPERLINK("https%3A%2F%2Fwww.webofscience.com%2Fwos%2Fwoscc%2Ffull-record%2FWOS:000237873000009","View Full Record in Web of Science")</f>
        <v>View Full Record in Web of Science</v>
      </c>
    </row>
    <row r="422" spans="1:72" x14ac:dyDescent="0.15">
      <c r="A422" t="s">
        <v>72</v>
      </c>
      <c r="B422" t="s">
        <v>6685</v>
      </c>
      <c r="C422" t="s">
        <v>74</v>
      </c>
      <c r="D422" t="s">
        <v>74</v>
      </c>
      <c r="E422" t="s">
        <v>74</v>
      </c>
      <c r="F422" t="s">
        <v>6686</v>
      </c>
      <c r="G422" t="s">
        <v>74</v>
      </c>
      <c r="H422" t="s">
        <v>74</v>
      </c>
      <c r="I422" t="s">
        <v>6687</v>
      </c>
      <c r="J422" t="s">
        <v>6688</v>
      </c>
      <c r="K422" t="s">
        <v>74</v>
      </c>
      <c r="L422" t="s">
        <v>74</v>
      </c>
      <c r="M422" t="s">
        <v>78</v>
      </c>
      <c r="N422" t="s">
        <v>79</v>
      </c>
      <c r="O422" t="s">
        <v>74</v>
      </c>
      <c r="P422" t="s">
        <v>74</v>
      </c>
      <c r="Q422" t="s">
        <v>74</v>
      </c>
      <c r="R422" t="s">
        <v>74</v>
      </c>
      <c r="S422" t="s">
        <v>74</v>
      </c>
      <c r="T422" t="s">
        <v>74</v>
      </c>
      <c r="U422" t="s">
        <v>6689</v>
      </c>
      <c r="V422" t="s">
        <v>6690</v>
      </c>
      <c r="W422" t="s">
        <v>6691</v>
      </c>
      <c r="X422" t="s">
        <v>6692</v>
      </c>
      <c r="Y422" t="s">
        <v>6693</v>
      </c>
      <c r="Z422" t="s">
        <v>6694</v>
      </c>
      <c r="AA422" t="s">
        <v>6695</v>
      </c>
      <c r="AB422" t="s">
        <v>6696</v>
      </c>
      <c r="AC422" t="s">
        <v>6697</v>
      </c>
      <c r="AD422" t="s">
        <v>1328</v>
      </c>
      <c r="AE422" t="s">
        <v>74</v>
      </c>
      <c r="AF422" t="s">
        <v>74</v>
      </c>
      <c r="AG422">
        <v>70</v>
      </c>
      <c r="AH422">
        <v>31</v>
      </c>
      <c r="AI422">
        <v>35</v>
      </c>
      <c r="AJ422">
        <v>1</v>
      </c>
      <c r="AK422">
        <v>14</v>
      </c>
      <c r="AL422" t="s">
        <v>994</v>
      </c>
      <c r="AM422" t="s">
        <v>4805</v>
      </c>
      <c r="AN422" t="s">
        <v>4806</v>
      </c>
      <c r="AO422" t="s">
        <v>6698</v>
      </c>
      <c r="AP422" t="s">
        <v>6699</v>
      </c>
      <c r="AQ422" t="s">
        <v>74</v>
      </c>
      <c r="AR422" t="s">
        <v>6688</v>
      </c>
      <c r="AS422" t="s">
        <v>6700</v>
      </c>
      <c r="AT422" t="s">
        <v>6392</v>
      </c>
      <c r="AU422">
        <v>2006</v>
      </c>
      <c r="AV422">
        <v>76</v>
      </c>
      <c r="AW422" t="s">
        <v>765</v>
      </c>
      <c r="AX422" t="s">
        <v>74</v>
      </c>
      <c r="AY422" t="s">
        <v>74</v>
      </c>
      <c r="AZ422" t="s">
        <v>74</v>
      </c>
      <c r="BA422" t="s">
        <v>74</v>
      </c>
      <c r="BB422">
        <v>7</v>
      </c>
      <c r="BC422">
        <v>29</v>
      </c>
      <c r="BD422" t="s">
        <v>74</v>
      </c>
      <c r="BE422" t="s">
        <v>6701</v>
      </c>
      <c r="BF422" t="str">
        <f>HYPERLINK("http://dx.doi.org/10.1007/s10584-005-9022-1","http://dx.doi.org/10.1007/s10584-005-9022-1")</f>
        <v>http://dx.doi.org/10.1007/s10584-005-9022-1</v>
      </c>
      <c r="BG422" t="s">
        <v>74</v>
      </c>
      <c r="BH422" t="s">
        <v>74</v>
      </c>
      <c r="BI422">
        <v>23</v>
      </c>
      <c r="BJ422" t="s">
        <v>395</v>
      </c>
      <c r="BK422" t="s">
        <v>97</v>
      </c>
      <c r="BL422" t="s">
        <v>396</v>
      </c>
      <c r="BM422" t="s">
        <v>6702</v>
      </c>
      <c r="BN422" t="s">
        <v>74</v>
      </c>
      <c r="BO422" t="s">
        <v>74</v>
      </c>
      <c r="BP422" t="s">
        <v>74</v>
      </c>
      <c r="BQ422" t="s">
        <v>74</v>
      </c>
      <c r="BR422" t="s">
        <v>100</v>
      </c>
      <c r="BS422" t="s">
        <v>6703</v>
      </c>
      <c r="BT422" t="str">
        <f>HYPERLINK("https%3A%2F%2Fwww.webofscience.com%2Fwos%2Fwoscc%2Ffull-record%2FWOS:000239060600002","View Full Record in Web of Science")</f>
        <v>View Full Record in Web of Science</v>
      </c>
    </row>
    <row r="423" spans="1:72" x14ac:dyDescent="0.15">
      <c r="A423" t="s">
        <v>72</v>
      </c>
      <c r="B423" t="s">
        <v>6704</v>
      </c>
      <c r="C423" t="s">
        <v>74</v>
      </c>
      <c r="D423" t="s">
        <v>74</v>
      </c>
      <c r="E423" t="s">
        <v>74</v>
      </c>
      <c r="F423" t="s">
        <v>6704</v>
      </c>
      <c r="G423" t="s">
        <v>74</v>
      </c>
      <c r="H423" t="s">
        <v>74</v>
      </c>
      <c r="I423" t="s">
        <v>6705</v>
      </c>
      <c r="J423" t="s">
        <v>6706</v>
      </c>
      <c r="K423" t="s">
        <v>74</v>
      </c>
      <c r="L423" t="s">
        <v>74</v>
      </c>
      <c r="M423" t="s">
        <v>78</v>
      </c>
      <c r="N423" t="s">
        <v>52</v>
      </c>
      <c r="O423" t="s">
        <v>6707</v>
      </c>
      <c r="P423" t="s">
        <v>6708</v>
      </c>
      <c r="Q423" t="s">
        <v>6709</v>
      </c>
      <c r="R423" t="s">
        <v>74</v>
      </c>
      <c r="S423" t="s">
        <v>74</v>
      </c>
      <c r="T423" t="s">
        <v>74</v>
      </c>
      <c r="U423" t="s">
        <v>74</v>
      </c>
      <c r="V423" t="s">
        <v>74</v>
      </c>
      <c r="W423" t="s">
        <v>6710</v>
      </c>
      <c r="X423" t="s">
        <v>4800</v>
      </c>
      <c r="Y423" t="s">
        <v>74</v>
      </c>
      <c r="Z423" t="s">
        <v>74</v>
      </c>
      <c r="AA423" t="s">
        <v>74</v>
      </c>
      <c r="AB423" t="s">
        <v>74</v>
      </c>
      <c r="AC423" t="s">
        <v>74</v>
      </c>
      <c r="AD423" t="s">
        <v>74</v>
      </c>
      <c r="AE423" t="s">
        <v>74</v>
      </c>
      <c r="AF423" t="s">
        <v>74</v>
      </c>
      <c r="AG423">
        <v>0</v>
      </c>
      <c r="AH423">
        <v>0</v>
      </c>
      <c r="AI423">
        <v>0</v>
      </c>
      <c r="AJ423">
        <v>0</v>
      </c>
      <c r="AK423">
        <v>0</v>
      </c>
      <c r="AL423" t="s">
        <v>6711</v>
      </c>
      <c r="AM423" t="s">
        <v>116</v>
      </c>
      <c r="AN423" t="s">
        <v>6712</v>
      </c>
      <c r="AO423" t="s">
        <v>6713</v>
      </c>
      <c r="AP423" t="s">
        <v>74</v>
      </c>
      <c r="AQ423" t="s">
        <v>74</v>
      </c>
      <c r="AR423" t="s">
        <v>6714</v>
      </c>
      <c r="AS423" t="s">
        <v>6715</v>
      </c>
      <c r="AT423" t="s">
        <v>6392</v>
      </c>
      <c r="AU423">
        <v>2006</v>
      </c>
      <c r="AV423" t="s">
        <v>6716</v>
      </c>
      <c r="AW423">
        <v>5</v>
      </c>
      <c r="AX423" t="s">
        <v>74</v>
      </c>
      <c r="AY423" t="s">
        <v>74</v>
      </c>
      <c r="AZ423" t="s">
        <v>74</v>
      </c>
      <c r="BA423" t="s">
        <v>74</v>
      </c>
      <c r="BB423">
        <v>403</v>
      </c>
      <c r="BC423">
        <v>403</v>
      </c>
      <c r="BD423" t="s">
        <v>74</v>
      </c>
      <c r="BE423" t="s">
        <v>74</v>
      </c>
      <c r="BF423" t="s">
        <v>74</v>
      </c>
      <c r="BG423" t="s">
        <v>74</v>
      </c>
      <c r="BH423" t="s">
        <v>74</v>
      </c>
      <c r="BI423">
        <v>1</v>
      </c>
      <c r="BJ423" t="s">
        <v>6717</v>
      </c>
      <c r="BK423" t="s">
        <v>655</v>
      </c>
      <c r="BL423" t="s">
        <v>563</v>
      </c>
      <c r="BM423" t="s">
        <v>6718</v>
      </c>
      <c r="BN423" t="s">
        <v>74</v>
      </c>
      <c r="BO423" t="s">
        <v>74</v>
      </c>
      <c r="BP423" t="s">
        <v>74</v>
      </c>
      <c r="BQ423" t="s">
        <v>74</v>
      </c>
      <c r="BR423" t="s">
        <v>100</v>
      </c>
      <c r="BS423" t="s">
        <v>6719</v>
      </c>
      <c r="BT423" t="str">
        <f>HYPERLINK("https%3A%2F%2Fwww.webofscience.com%2Fwos%2Fwoscc%2Ffull-record%2FWOS:000237187700029","View Full Record in Web of Science")</f>
        <v>View Full Record in Web of Science</v>
      </c>
    </row>
    <row r="424" spans="1:72" x14ac:dyDescent="0.15">
      <c r="A424" t="s">
        <v>72</v>
      </c>
      <c r="B424" t="s">
        <v>6720</v>
      </c>
      <c r="C424" t="s">
        <v>74</v>
      </c>
      <c r="D424" t="s">
        <v>74</v>
      </c>
      <c r="E424" t="s">
        <v>74</v>
      </c>
      <c r="F424" t="s">
        <v>6721</v>
      </c>
      <c r="G424" t="s">
        <v>74</v>
      </c>
      <c r="H424" t="s">
        <v>74</v>
      </c>
      <c r="I424" t="s">
        <v>6722</v>
      </c>
      <c r="J424" t="s">
        <v>2699</v>
      </c>
      <c r="K424" t="s">
        <v>74</v>
      </c>
      <c r="L424" t="s">
        <v>74</v>
      </c>
      <c r="M424" t="s">
        <v>78</v>
      </c>
      <c r="N424" t="s">
        <v>79</v>
      </c>
      <c r="O424" t="s">
        <v>74</v>
      </c>
      <c r="P424" t="s">
        <v>74</v>
      </c>
      <c r="Q424" t="s">
        <v>74</v>
      </c>
      <c r="R424" t="s">
        <v>74</v>
      </c>
      <c r="S424" t="s">
        <v>74</v>
      </c>
      <c r="T424" t="s">
        <v>6723</v>
      </c>
      <c r="U424" t="s">
        <v>6724</v>
      </c>
      <c r="V424" t="s">
        <v>6725</v>
      </c>
      <c r="W424" t="s">
        <v>6726</v>
      </c>
      <c r="X424" t="s">
        <v>6727</v>
      </c>
      <c r="Y424" t="s">
        <v>6728</v>
      </c>
      <c r="Z424" t="s">
        <v>6729</v>
      </c>
      <c r="AA424" t="s">
        <v>6730</v>
      </c>
      <c r="AB424" t="s">
        <v>6731</v>
      </c>
      <c r="AC424" t="s">
        <v>74</v>
      </c>
      <c r="AD424" t="s">
        <v>74</v>
      </c>
      <c r="AE424" t="s">
        <v>74</v>
      </c>
      <c r="AF424" t="s">
        <v>74</v>
      </c>
      <c r="AG424">
        <v>90</v>
      </c>
      <c r="AH424">
        <v>49</v>
      </c>
      <c r="AI424">
        <v>52</v>
      </c>
      <c r="AJ424">
        <v>1</v>
      </c>
      <c r="AK424">
        <v>27</v>
      </c>
      <c r="AL424" t="s">
        <v>387</v>
      </c>
      <c r="AM424" t="s">
        <v>388</v>
      </c>
      <c r="AN424" t="s">
        <v>389</v>
      </c>
      <c r="AO424" t="s">
        <v>2707</v>
      </c>
      <c r="AP424" t="s">
        <v>2731</v>
      </c>
      <c r="AQ424" t="s">
        <v>74</v>
      </c>
      <c r="AR424" t="s">
        <v>2708</v>
      </c>
      <c r="AS424" t="s">
        <v>2709</v>
      </c>
      <c r="AT424" t="s">
        <v>6392</v>
      </c>
      <c r="AU424">
        <v>2006</v>
      </c>
      <c r="AV424">
        <v>53</v>
      </c>
      <c r="AW424">
        <v>5</v>
      </c>
      <c r="AX424" t="s">
        <v>74</v>
      </c>
      <c r="AY424" t="s">
        <v>74</v>
      </c>
      <c r="AZ424" t="s">
        <v>74</v>
      </c>
      <c r="BA424" t="s">
        <v>74</v>
      </c>
      <c r="BB424">
        <v>836</v>
      </c>
      <c r="BC424">
        <v>859</v>
      </c>
      <c r="BD424" t="s">
        <v>74</v>
      </c>
      <c r="BE424" t="s">
        <v>6732</v>
      </c>
      <c r="BF424" t="str">
        <f>HYPERLINK("http://dx.doi.org/10.1016/j.dsr.2006.01.004","http://dx.doi.org/10.1016/j.dsr.2006.01.004")</f>
        <v>http://dx.doi.org/10.1016/j.dsr.2006.01.004</v>
      </c>
      <c r="BG424" t="s">
        <v>74</v>
      </c>
      <c r="BH424" t="s">
        <v>74</v>
      </c>
      <c r="BI424">
        <v>24</v>
      </c>
      <c r="BJ424" t="s">
        <v>1069</v>
      </c>
      <c r="BK424" t="s">
        <v>97</v>
      </c>
      <c r="BL424" t="s">
        <v>1069</v>
      </c>
      <c r="BM424" t="s">
        <v>6733</v>
      </c>
      <c r="BN424" t="s">
        <v>74</v>
      </c>
      <c r="BO424" t="s">
        <v>74</v>
      </c>
      <c r="BP424" t="s">
        <v>74</v>
      </c>
      <c r="BQ424" t="s">
        <v>74</v>
      </c>
      <c r="BR424" t="s">
        <v>100</v>
      </c>
      <c r="BS424" t="s">
        <v>6734</v>
      </c>
      <c r="BT424" t="str">
        <f>HYPERLINK("https%3A%2F%2Fwww.webofscience.com%2Fwos%2Fwoscc%2Ffull-record%2FWOS:000238661800007","View Full Record in Web of Science")</f>
        <v>View Full Record in Web of Science</v>
      </c>
    </row>
    <row r="425" spans="1:72" x14ac:dyDescent="0.15">
      <c r="A425" t="s">
        <v>72</v>
      </c>
      <c r="B425" t="s">
        <v>6735</v>
      </c>
      <c r="C425" t="s">
        <v>74</v>
      </c>
      <c r="D425" t="s">
        <v>74</v>
      </c>
      <c r="E425" t="s">
        <v>74</v>
      </c>
      <c r="F425" t="s">
        <v>6735</v>
      </c>
      <c r="G425" t="s">
        <v>74</v>
      </c>
      <c r="H425" t="s">
        <v>74</v>
      </c>
      <c r="I425" t="s">
        <v>6736</v>
      </c>
      <c r="J425" t="s">
        <v>6737</v>
      </c>
      <c r="K425" t="s">
        <v>74</v>
      </c>
      <c r="L425" t="s">
        <v>74</v>
      </c>
      <c r="M425" t="s">
        <v>78</v>
      </c>
      <c r="N425" t="s">
        <v>79</v>
      </c>
      <c r="O425" t="s">
        <v>74</v>
      </c>
      <c r="P425" t="s">
        <v>74</v>
      </c>
      <c r="Q425" t="s">
        <v>74</v>
      </c>
      <c r="R425" t="s">
        <v>74</v>
      </c>
      <c r="S425" t="s">
        <v>74</v>
      </c>
      <c r="T425" t="s">
        <v>74</v>
      </c>
      <c r="U425" t="s">
        <v>6738</v>
      </c>
      <c r="V425" t="s">
        <v>6739</v>
      </c>
      <c r="W425" t="s">
        <v>6740</v>
      </c>
      <c r="X425" t="s">
        <v>6741</v>
      </c>
      <c r="Y425" t="s">
        <v>6742</v>
      </c>
      <c r="Z425" t="s">
        <v>6743</v>
      </c>
      <c r="AA425" t="s">
        <v>74</v>
      </c>
      <c r="AB425" t="s">
        <v>74</v>
      </c>
      <c r="AC425" t="s">
        <v>74</v>
      </c>
      <c r="AD425" t="s">
        <v>74</v>
      </c>
      <c r="AE425" t="s">
        <v>74</v>
      </c>
      <c r="AF425" t="s">
        <v>74</v>
      </c>
      <c r="AG425">
        <v>72</v>
      </c>
      <c r="AH425">
        <v>10</v>
      </c>
      <c r="AI425">
        <v>12</v>
      </c>
      <c r="AJ425">
        <v>0</v>
      </c>
      <c r="AK425">
        <v>3</v>
      </c>
      <c r="AL425" t="s">
        <v>6744</v>
      </c>
      <c r="AM425" t="s">
        <v>1630</v>
      </c>
      <c r="AN425" t="s">
        <v>6745</v>
      </c>
      <c r="AO425" t="s">
        <v>6746</v>
      </c>
      <c r="AP425" t="s">
        <v>74</v>
      </c>
      <c r="AQ425" t="s">
        <v>74</v>
      </c>
      <c r="AR425" t="s">
        <v>6747</v>
      </c>
      <c r="AS425" t="s">
        <v>6748</v>
      </c>
      <c r="AT425" t="s">
        <v>6392</v>
      </c>
      <c r="AU425">
        <v>2006</v>
      </c>
      <c r="AV425">
        <v>21</v>
      </c>
      <c r="AW425">
        <v>1</v>
      </c>
      <c r="AX425" t="s">
        <v>74</v>
      </c>
      <c r="AY425" t="s">
        <v>74</v>
      </c>
      <c r="AZ425" t="s">
        <v>74</v>
      </c>
      <c r="BA425" t="s">
        <v>74</v>
      </c>
      <c r="BB425">
        <v>57</v>
      </c>
      <c r="BC425">
        <v>70</v>
      </c>
      <c r="BD425" t="s">
        <v>74</v>
      </c>
      <c r="BE425" t="s">
        <v>74</v>
      </c>
      <c r="BF425" t="s">
        <v>74</v>
      </c>
      <c r="BG425" t="s">
        <v>74</v>
      </c>
      <c r="BH425" t="s">
        <v>74</v>
      </c>
      <c r="BI425">
        <v>14</v>
      </c>
      <c r="BJ425" t="s">
        <v>1146</v>
      </c>
      <c r="BK425" t="s">
        <v>97</v>
      </c>
      <c r="BL425" t="s">
        <v>1146</v>
      </c>
      <c r="BM425" t="s">
        <v>6749</v>
      </c>
      <c r="BN425" t="s">
        <v>74</v>
      </c>
      <c r="BO425" t="s">
        <v>74</v>
      </c>
      <c r="BP425" t="s">
        <v>74</v>
      </c>
      <c r="BQ425" t="s">
        <v>74</v>
      </c>
      <c r="BR425" t="s">
        <v>100</v>
      </c>
      <c r="BS425" t="s">
        <v>6750</v>
      </c>
      <c r="BT425" t="str">
        <f>HYPERLINK("https%3A%2F%2Fwww.webofscience.com%2Fwos%2Fwoscc%2Ffull-record%2FWOS:000237237300002","View Full Record in Web of Science")</f>
        <v>View Full Record in Web of Science</v>
      </c>
    </row>
    <row r="426" spans="1:72" x14ac:dyDescent="0.15">
      <c r="A426" t="s">
        <v>72</v>
      </c>
      <c r="B426" t="s">
        <v>6751</v>
      </c>
      <c r="C426" t="s">
        <v>74</v>
      </c>
      <c r="D426" t="s">
        <v>74</v>
      </c>
      <c r="E426" t="s">
        <v>74</v>
      </c>
      <c r="F426" t="s">
        <v>6752</v>
      </c>
      <c r="G426" t="s">
        <v>74</v>
      </c>
      <c r="H426" t="s">
        <v>74</v>
      </c>
      <c r="I426" t="s">
        <v>6753</v>
      </c>
      <c r="J426" t="s">
        <v>6754</v>
      </c>
      <c r="K426" t="s">
        <v>74</v>
      </c>
      <c r="L426" t="s">
        <v>74</v>
      </c>
      <c r="M426" t="s">
        <v>78</v>
      </c>
      <c r="N426" t="s">
        <v>79</v>
      </c>
      <c r="O426" t="s">
        <v>74</v>
      </c>
      <c r="P426" t="s">
        <v>74</v>
      </c>
      <c r="Q426" t="s">
        <v>74</v>
      </c>
      <c r="R426" t="s">
        <v>74</v>
      </c>
      <c r="S426" t="s">
        <v>74</v>
      </c>
      <c r="T426" t="s">
        <v>74</v>
      </c>
      <c r="U426" t="s">
        <v>6755</v>
      </c>
      <c r="V426" t="s">
        <v>74</v>
      </c>
      <c r="W426" t="s">
        <v>6756</v>
      </c>
      <c r="X426" t="s">
        <v>6757</v>
      </c>
      <c r="Y426" t="s">
        <v>6758</v>
      </c>
      <c r="Z426" t="s">
        <v>74</v>
      </c>
      <c r="AA426" t="s">
        <v>6759</v>
      </c>
      <c r="AB426" t="s">
        <v>6760</v>
      </c>
      <c r="AC426" t="s">
        <v>74</v>
      </c>
      <c r="AD426" t="s">
        <v>74</v>
      </c>
      <c r="AE426" t="s">
        <v>74</v>
      </c>
      <c r="AF426" t="s">
        <v>74</v>
      </c>
      <c r="AG426">
        <v>11</v>
      </c>
      <c r="AH426">
        <v>3</v>
      </c>
      <c r="AI426">
        <v>3</v>
      </c>
      <c r="AJ426">
        <v>0</v>
      </c>
      <c r="AK426">
        <v>1</v>
      </c>
      <c r="AL426" t="s">
        <v>601</v>
      </c>
      <c r="AM426" t="s">
        <v>476</v>
      </c>
      <c r="AN426" t="s">
        <v>602</v>
      </c>
      <c r="AO426" t="s">
        <v>6761</v>
      </c>
      <c r="AP426" t="s">
        <v>6762</v>
      </c>
      <c r="AQ426" t="s">
        <v>74</v>
      </c>
      <c r="AR426" t="s">
        <v>6763</v>
      </c>
      <c r="AS426" t="s">
        <v>6764</v>
      </c>
      <c r="AT426" t="s">
        <v>6392</v>
      </c>
      <c r="AU426">
        <v>2006</v>
      </c>
      <c r="AV426">
        <v>408</v>
      </c>
      <c r="AW426">
        <v>4</v>
      </c>
      <c r="AX426" t="s">
        <v>74</v>
      </c>
      <c r="AY426" t="s">
        <v>74</v>
      </c>
      <c r="AZ426" t="s">
        <v>74</v>
      </c>
      <c r="BA426" t="s">
        <v>74</v>
      </c>
      <c r="BB426">
        <v>595</v>
      </c>
      <c r="BC426">
        <v>598</v>
      </c>
      <c r="BD426" t="s">
        <v>74</v>
      </c>
      <c r="BE426" t="s">
        <v>6765</v>
      </c>
      <c r="BF426" t="str">
        <f>HYPERLINK("http://dx.doi.org/10.1134/S1028334X06040192","http://dx.doi.org/10.1134/S1028334X06040192")</f>
        <v>http://dx.doi.org/10.1134/S1028334X06040192</v>
      </c>
      <c r="BG426" t="s">
        <v>74</v>
      </c>
      <c r="BH426" t="s">
        <v>74</v>
      </c>
      <c r="BI426">
        <v>4</v>
      </c>
      <c r="BJ426" t="s">
        <v>527</v>
      </c>
      <c r="BK426" t="s">
        <v>97</v>
      </c>
      <c r="BL426" t="s">
        <v>528</v>
      </c>
      <c r="BM426" t="s">
        <v>6766</v>
      </c>
      <c r="BN426" t="s">
        <v>74</v>
      </c>
      <c r="BO426" t="s">
        <v>74</v>
      </c>
      <c r="BP426" t="s">
        <v>74</v>
      </c>
      <c r="BQ426" t="s">
        <v>74</v>
      </c>
      <c r="BR426" t="s">
        <v>100</v>
      </c>
      <c r="BS426" t="s">
        <v>6767</v>
      </c>
      <c r="BT426" t="str">
        <f>HYPERLINK("https%3A%2F%2Fwww.webofscience.com%2Fwos%2Fwoscc%2Ffull-record%2FWOS:000244577300019","View Full Record in Web of Science")</f>
        <v>View Full Record in Web of Science</v>
      </c>
    </row>
    <row r="427" spans="1:72" x14ac:dyDescent="0.15">
      <c r="A427" t="s">
        <v>72</v>
      </c>
      <c r="B427" t="s">
        <v>6768</v>
      </c>
      <c r="C427" t="s">
        <v>74</v>
      </c>
      <c r="D427" t="s">
        <v>74</v>
      </c>
      <c r="E427" t="s">
        <v>74</v>
      </c>
      <c r="F427" t="s">
        <v>6769</v>
      </c>
      <c r="G427" t="s">
        <v>74</v>
      </c>
      <c r="H427" t="s">
        <v>74</v>
      </c>
      <c r="I427" t="s">
        <v>6770</v>
      </c>
      <c r="J427" t="s">
        <v>6771</v>
      </c>
      <c r="K427" t="s">
        <v>74</v>
      </c>
      <c r="L427" t="s">
        <v>74</v>
      </c>
      <c r="M427" t="s">
        <v>78</v>
      </c>
      <c r="N427" t="s">
        <v>79</v>
      </c>
      <c r="O427" t="s">
        <v>74</v>
      </c>
      <c r="P427" t="s">
        <v>74</v>
      </c>
      <c r="Q427" t="s">
        <v>74</v>
      </c>
      <c r="R427" t="s">
        <v>74</v>
      </c>
      <c r="S427" t="s">
        <v>74</v>
      </c>
      <c r="T427" t="s">
        <v>6772</v>
      </c>
      <c r="U427" t="s">
        <v>6773</v>
      </c>
      <c r="V427" t="s">
        <v>6774</v>
      </c>
      <c r="W427" t="s">
        <v>6775</v>
      </c>
      <c r="X427" t="s">
        <v>6776</v>
      </c>
      <c r="Y427" t="s">
        <v>6777</v>
      </c>
      <c r="Z427" t="s">
        <v>6778</v>
      </c>
      <c r="AA427" t="s">
        <v>74</v>
      </c>
      <c r="AB427" t="s">
        <v>74</v>
      </c>
      <c r="AC427" t="s">
        <v>74</v>
      </c>
      <c r="AD427" t="s">
        <v>74</v>
      </c>
      <c r="AE427" t="s">
        <v>74</v>
      </c>
      <c r="AF427" t="s">
        <v>74</v>
      </c>
      <c r="AG427">
        <v>38</v>
      </c>
      <c r="AH427">
        <v>120</v>
      </c>
      <c r="AI427">
        <v>138</v>
      </c>
      <c r="AJ427">
        <v>1</v>
      </c>
      <c r="AK427">
        <v>45</v>
      </c>
      <c r="AL427" t="s">
        <v>994</v>
      </c>
      <c r="AM427" t="s">
        <v>4805</v>
      </c>
      <c r="AN427" t="s">
        <v>4806</v>
      </c>
      <c r="AO427" t="s">
        <v>6779</v>
      </c>
      <c r="AP427" t="s">
        <v>6780</v>
      </c>
      <c r="AQ427" t="s">
        <v>74</v>
      </c>
      <c r="AR427" t="s">
        <v>6771</v>
      </c>
      <c r="AS427" t="s">
        <v>6781</v>
      </c>
      <c r="AT427" t="s">
        <v>6392</v>
      </c>
      <c r="AU427">
        <v>2006</v>
      </c>
      <c r="AV427">
        <v>15</v>
      </c>
      <c r="AW427">
        <v>4</v>
      </c>
      <c r="AX427" t="s">
        <v>74</v>
      </c>
      <c r="AY427" t="s">
        <v>74</v>
      </c>
      <c r="AZ427" t="s">
        <v>74</v>
      </c>
      <c r="BA427" t="s">
        <v>74</v>
      </c>
      <c r="BB427">
        <v>379</v>
      </c>
      <c r="BC427">
        <v>384</v>
      </c>
      <c r="BD427" t="s">
        <v>74</v>
      </c>
      <c r="BE427" t="s">
        <v>6782</v>
      </c>
      <c r="BF427" t="str">
        <f>HYPERLINK("http://dx.doi.org/10.1007/s10646-006-0068-2","http://dx.doi.org/10.1007/s10646-006-0068-2")</f>
        <v>http://dx.doi.org/10.1007/s10646-006-0068-2</v>
      </c>
      <c r="BG427" t="s">
        <v>74</v>
      </c>
      <c r="BH427" t="s">
        <v>74</v>
      </c>
      <c r="BI427">
        <v>6</v>
      </c>
      <c r="BJ427" t="s">
        <v>6783</v>
      </c>
      <c r="BK427" t="s">
        <v>97</v>
      </c>
      <c r="BL427" t="s">
        <v>6784</v>
      </c>
      <c r="BM427" t="s">
        <v>6785</v>
      </c>
      <c r="BN427">
        <v>16703457</v>
      </c>
      <c r="BO427" t="s">
        <v>74</v>
      </c>
      <c r="BP427" t="s">
        <v>74</v>
      </c>
      <c r="BQ427" t="s">
        <v>74</v>
      </c>
      <c r="BR427" t="s">
        <v>100</v>
      </c>
      <c r="BS427" t="s">
        <v>6786</v>
      </c>
      <c r="BT427" t="str">
        <f>HYPERLINK("https%3A%2F%2Fwww.webofscience.com%2Fwos%2Fwoscc%2Ffull-record%2FWOS:000238518000010","View Full Record in Web of Science")</f>
        <v>View Full Record in Web of Science</v>
      </c>
    </row>
    <row r="428" spans="1:72" x14ac:dyDescent="0.15">
      <c r="A428" t="s">
        <v>72</v>
      </c>
      <c r="B428" t="s">
        <v>6787</v>
      </c>
      <c r="C428" t="s">
        <v>74</v>
      </c>
      <c r="D428" t="s">
        <v>74</v>
      </c>
      <c r="E428" t="s">
        <v>74</v>
      </c>
      <c r="F428" t="s">
        <v>6787</v>
      </c>
      <c r="G428" t="s">
        <v>74</v>
      </c>
      <c r="H428" t="s">
        <v>74</v>
      </c>
      <c r="I428" t="s">
        <v>6788</v>
      </c>
      <c r="J428" t="s">
        <v>6789</v>
      </c>
      <c r="K428" t="s">
        <v>74</v>
      </c>
      <c r="L428" t="s">
        <v>74</v>
      </c>
      <c r="M428" t="s">
        <v>78</v>
      </c>
      <c r="N428" t="s">
        <v>79</v>
      </c>
      <c r="O428" t="s">
        <v>74</v>
      </c>
      <c r="P428" t="s">
        <v>74</v>
      </c>
      <c r="Q428" t="s">
        <v>74</v>
      </c>
      <c r="R428" t="s">
        <v>74</v>
      </c>
      <c r="S428" t="s">
        <v>74</v>
      </c>
      <c r="T428" t="s">
        <v>6790</v>
      </c>
      <c r="U428" t="s">
        <v>6791</v>
      </c>
      <c r="V428" t="s">
        <v>6792</v>
      </c>
      <c r="W428" t="s">
        <v>6793</v>
      </c>
      <c r="X428" t="s">
        <v>6794</v>
      </c>
      <c r="Y428" t="s">
        <v>6795</v>
      </c>
      <c r="Z428" t="s">
        <v>6796</v>
      </c>
      <c r="AA428" t="s">
        <v>74</v>
      </c>
      <c r="AB428" t="s">
        <v>74</v>
      </c>
      <c r="AC428" t="s">
        <v>74</v>
      </c>
      <c r="AD428" t="s">
        <v>74</v>
      </c>
      <c r="AE428" t="s">
        <v>74</v>
      </c>
      <c r="AF428" t="s">
        <v>74</v>
      </c>
      <c r="AG428">
        <v>37</v>
      </c>
      <c r="AH428">
        <v>10</v>
      </c>
      <c r="AI428">
        <v>11</v>
      </c>
      <c r="AJ428">
        <v>0</v>
      </c>
      <c r="AK428">
        <v>3</v>
      </c>
      <c r="AL428" t="s">
        <v>5265</v>
      </c>
      <c r="AM428" t="s">
        <v>5266</v>
      </c>
      <c r="AN428" t="s">
        <v>5267</v>
      </c>
      <c r="AO428" t="s">
        <v>6797</v>
      </c>
      <c r="AP428" t="s">
        <v>74</v>
      </c>
      <c r="AQ428" t="s">
        <v>74</v>
      </c>
      <c r="AR428" t="s">
        <v>6798</v>
      </c>
      <c r="AS428" t="s">
        <v>6799</v>
      </c>
      <c r="AT428" t="s">
        <v>6392</v>
      </c>
      <c r="AU428">
        <v>2006</v>
      </c>
      <c r="AV428">
        <v>38</v>
      </c>
      <c r="AW428">
        <v>3</v>
      </c>
      <c r="AX428" t="s">
        <v>74</v>
      </c>
      <c r="AY428" t="s">
        <v>74</v>
      </c>
      <c r="AZ428" t="s">
        <v>74</v>
      </c>
      <c r="BA428" t="s">
        <v>74</v>
      </c>
      <c r="BB428">
        <v>356</v>
      </c>
      <c r="BC428">
        <v>372</v>
      </c>
      <c r="BD428" t="s">
        <v>74</v>
      </c>
      <c r="BE428" t="s">
        <v>6800</v>
      </c>
      <c r="BF428" t="str">
        <f>HYPERLINK("http://dx.doi.org/10.1177/0013916505279044","http://dx.doi.org/10.1177/0013916505279044")</f>
        <v>http://dx.doi.org/10.1177/0013916505279044</v>
      </c>
      <c r="BG428" t="s">
        <v>74</v>
      </c>
      <c r="BH428" t="s">
        <v>74</v>
      </c>
      <c r="BI428">
        <v>17</v>
      </c>
      <c r="BJ428" t="s">
        <v>6801</v>
      </c>
      <c r="BK428" t="s">
        <v>3055</v>
      </c>
      <c r="BL428" t="s">
        <v>6802</v>
      </c>
      <c r="BM428" t="s">
        <v>6803</v>
      </c>
      <c r="BN428" t="s">
        <v>74</v>
      </c>
      <c r="BO428" t="s">
        <v>74</v>
      </c>
      <c r="BP428" t="s">
        <v>74</v>
      </c>
      <c r="BQ428" t="s">
        <v>74</v>
      </c>
      <c r="BR428" t="s">
        <v>100</v>
      </c>
      <c r="BS428" t="s">
        <v>6804</v>
      </c>
      <c r="BT428" t="str">
        <f>HYPERLINK("https%3A%2F%2Fwww.webofscience.com%2Fwos%2Fwoscc%2Ffull-record%2FWOS:000236964800004","View Full Record in Web of Science")</f>
        <v>View Full Record in Web of Science</v>
      </c>
    </row>
    <row r="429" spans="1:72" x14ac:dyDescent="0.15">
      <c r="A429" t="s">
        <v>72</v>
      </c>
      <c r="B429" t="s">
        <v>6805</v>
      </c>
      <c r="C429" t="s">
        <v>74</v>
      </c>
      <c r="D429" t="s">
        <v>74</v>
      </c>
      <c r="E429" t="s">
        <v>74</v>
      </c>
      <c r="F429" t="s">
        <v>6806</v>
      </c>
      <c r="G429" t="s">
        <v>74</v>
      </c>
      <c r="H429" t="s">
        <v>74</v>
      </c>
      <c r="I429" t="s">
        <v>6807</v>
      </c>
      <c r="J429" t="s">
        <v>6808</v>
      </c>
      <c r="K429" t="s">
        <v>74</v>
      </c>
      <c r="L429" t="s">
        <v>74</v>
      </c>
      <c r="M429" t="s">
        <v>78</v>
      </c>
      <c r="N429" t="s">
        <v>79</v>
      </c>
      <c r="O429" t="s">
        <v>74</v>
      </c>
      <c r="P429" t="s">
        <v>74</v>
      </c>
      <c r="Q429" t="s">
        <v>74</v>
      </c>
      <c r="R429" t="s">
        <v>74</v>
      </c>
      <c r="S429" t="s">
        <v>74</v>
      </c>
      <c r="T429" t="s">
        <v>6809</v>
      </c>
      <c r="U429" t="s">
        <v>6810</v>
      </c>
      <c r="V429" t="s">
        <v>6811</v>
      </c>
      <c r="W429" t="s">
        <v>6812</v>
      </c>
      <c r="X429" t="s">
        <v>6813</v>
      </c>
      <c r="Y429" t="s">
        <v>6814</v>
      </c>
      <c r="Z429" t="s">
        <v>6815</v>
      </c>
      <c r="AA429" t="s">
        <v>74</v>
      </c>
      <c r="AB429" t="s">
        <v>74</v>
      </c>
      <c r="AC429" t="s">
        <v>74</v>
      </c>
      <c r="AD429" t="s">
        <v>74</v>
      </c>
      <c r="AE429" t="s">
        <v>74</v>
      </c>
      <c r="AF429" t="s">
        <v>74</v>
      </c>
      <c r="AG429">
        <v>30</v>
      </c>
      <c r="AH429">
        <v>24</v>
      </c>
      <c r="AI429">
        <v>28</v>
      </c>
      <c r="AJ429">
        <v>0</v>
      </c>
      <c r="AK429">
        <v>19</v>
      </c>
      <c r="AL429" t="s">
        <v>136</v>
      </c>
      <c r="AM429" t="s">
        <v>137</v>
      </c>
      <c r="AN429" t="s">
        <v>138</v>
      </c>
      <c r="AO429" t="s">
        <v>6816</v>
      </c>
      <c r="AP429" t="s">
        <v>6817</v>
      </c>
      <c r="AQ429" t="s">
        <v>74</v>
      </c>
      <c r="AR429" t="s">
        <v>6818</v>
      </c>
      <c r="AS429" t="s">
        <v>6819</v>
      </c>
      <c r="AT429" t="s">
        <v>6392</v>
      </c>
      <c r="AU429">
        <v>2006</v>
      </c>
      <c r="AV429">
        <v>41</v>
      </c>
      <c r="AW429">
        <v>2</v>
      </c>
      <c r="AX429" t="s">
        <v>74</v>
      </c>
      <c r="AY429" t="s">
        <v>74</v>
      </c>
      <c r="AZ429" t="s">
        <v>74</v>
      </c>
      <c r="BA429" t="s">
        <v>74</v>
      </c>
      <c r="BB429">
        <v>223</v>
      </c>
      <c r="BC429">
        <v>233</v>
      </c>
      <c r="BD429" t="s">
        <v>74</v>
      </c>
      <c r="BE429" t="s">
        <v>6820</v>
      </c>
      <c r="BF429" t="str">
        <f>HYPERLINK("http://dx.doi.org/10.1080/09670260600645824","http://dx.doi.org/10.1080/09670260600645824")</f>
        <v>http://dx.doi.org/10.1080/09670260600645824</v>
      </c>
      <c r="BG429" t="s">
        <v>74</v>
      </c>
      <c r="BH429" t="s">
        <v>74</v>
      </c>
      <c r="BI429">
        <v>11</v>
      </c>
      <c r="BJ429" t="s">
        <v>504</v>
      </c>
      <c r="BK429" t="s">
        <v>97</v>
      </c>
      <c r="BL429" t="s">
        <v>504</v>
      </c>
      <c r="BM429" t="s">
        <v>6821</v>
      </c>
      <c r="BN429" t="s">
        <v>74</v>
      </c>
      <c r="BO429" t="s">
        <v>460</v>
      </c>
      <c r="BP429" t="s">
        <v>74</v>
      </c>
      <c r="BQ429" t="s">
        <v>74</v>
      </c>
      <c r="BR429" t="s">
        <v>100</v>
      </c>
      <c r="BS429" t="s">
        <v>6822</v>
      </c>
      <c r="BT429" t="str">
        <f>HYPERLINK("https%3A%2F%2Fwww.webofscience.com%2Fwos%2Fwoscc%2Ffull-record%2FWOS:000238286900009","View Full Record in Web of Science")</f>
        <v>View Full Record in Web of Science</v>
      </c>
    </row>
    <row r="430" spans="1:72" x14ac:dyDescent="0.15">
      <c r="A430" t="s">
        <v>72</v>
      </c>
      <c r="B430" t="s">
        <v>6823</v>
      </c>
      <c r="C430" t="s">
        <v>74</v>
      </c>
      <c r="D430" t="s">
        <v>74</v>
      </c>
      <c r="E430" t="s">
        <v>74</v>
      </c>
      <c r="F430" t="s">
        <v>6823</v>
      </c>
      <c r="G430" t="s">
        <v>74</v>
      </c>
      <c r="H430" t="s">
        <v>74</v>
      </c>
      <c r="I430" t="s">
        <v>6824</v>
      </c>
      <c r="J430" t="s">
        <v>6825</v>
      </c>
      <c r="K430" t="s">
        <v>74</v>
      </c>
      <c r="L430" t="s">
        <v>74</v>
      </c>
      <c r="M430" t="s">
        <v>78</v>
      </c>
      <c r="N430" t="s">
        <v>79</v>
      </c>
      <c r="O430" t="s">
        <v>74</v>
      </c>
      <c r="P430" t="s">
        <v>74</v>
      </c>
      <c r="Q430" t="s">
        <v>74</v>
      </c>
      <c r="R430" t="s">
        <v>74</v>
      </c>
      <c r="S430" t="s">
        <v>74</v>
      </c>
      <c r="T430" t="s">
        <v>6826</v>
      </c>
      <c r="U430" t="s">
        <v>6827</v>
      </c>
      <c r="V430" t="s">
        <v>6828</v>
      </c>
      <c r="W430" t="s">
        <v>6829</v>
      </c>
      <c r="X430" t="s">
        <v>6830</v>
      </c>
      <c r="Y430" t="s">
        <v>6831</v>
      </c>
      <c r="Z430" t="s">
        <v>6832</v>
      </c>
      <c r="AA430" t="s">
        <v>6833</v>
      </c>
      <c r="AB430" t="s">
        <v>6834</v>
      </c>
      <c r="AC430" t="s">
        <v>74</v>
      </c>
      <c r="AD430" t="s">
        <v>74</v>
      </c>
      <c r="AE430" t="s">
        <v>74</v>
      </c>
      <c r="AF430" t="s">
        <v>74</v>
      </c>
      <c r="AG430">
        <v>20</v>
      </c>
      <c r="AH430">
        <v>14</v>
      </c>
      <c r="AI430">
        <v>15</v>
      </c>
      <c r="AJ430">
        <v>1</v>
      </c>
      <c r="AK430">
        <v>8</v>
      </c>
      <c r="AL430" t="s">
        <v>580</v>
      </c>
      <c r="AM430" t="s">
        <v>388</v>
      </c>
      <c r="AN430" t="s">
        <v>581</v>
      </c>
      <c r="AO430" t="s">
        <v>6835</v>
      </c>
      <c r="AP430" t="s">
        <v>6836</v>
      </c>
      <c r="AQ430" t="s">
        <v>74</v>
      </c>
      <c r="AR430" t="s">
        <v>6837</v>
      </c>
      <c r="AS430" t="s">
        <v>6838</v>
      </c>
      <c r="AT430" t="s">
        <v>6392</v>
      </c>
      <c r="AU430">
        <v>2006</v>
      </c>
      <c r="AV430">
        <v>258</v>
      </c>
      <c r="AW430">
        <v>1</v>
      </c>
      <c r="AX430" t="s">
        <v>74</v>
      </c>
      <c r="AY430" t="s">
        <v>74</v>
      </c>
      <c r="AZ430" t="s">
        <v>74</v>
      </c>
      <c r="BA430" t="s">
        <v>74</v>
      </c>
      <c r="BB430">
        <v>67</v>
      </c>
      <c r="BC430">
        <v>71</v>
      </c>
      <c r="BD430" t="s">
        <v>74</v>
      </c>
      <c r="BE430" t="s">
        <v>6839</v>
      </c>
      <c r="BF430" t="str">
        <f>HYPERLINK("http://dx.doi.org/10.1111/j.1574-6968.2006.00193.x","http://dx.doi.org/10.1111/j.1574-6968.2006.00193.x")</f>
        <v>http://dx.doi.org/10.1111/j.1574-6968.2006.00193.x</v>
      </c>
      <c r="BG430" t="s">
        <v>74</v>
      </c>
      <c r="BH430" t="s">
        <v>74</v>
      </c>
      <c r="BI430">
        <v>5</v>
      </c>
      <c r="BJ430" t="s">
        <v>587</v>
      </c>
      <c r="BK430" t="s">
        <v>97</v>
      </c>
      <c r="BL430" t="s">
        <v>587</v>
      </c>
      <c r="BM430" t="s">
        <v>6840</v>
      </c>
      <c r="BN430">
        <v>16630257</v>
      </c>
      <c r="BO430" t="s">
        <v>460</v>
      </c>
      <c r="BP430" t="s">
        <v>74</v>
      </c>
      <c r="BQ430" t="s">
        <v>74</v>
      </c>
      <c r="BR430" t="s">
        <v>100</v>
      </c>
      <c r="BS430" t="s">
        <v>6841</v>
      </c>
      <c r="BT430" t="str">
        <f>HYPERLINK("https%3A%2F%2Fwww.webofscience.com%2Fwos%2Fwoscc%2Ffull-record%2FWOS:000236549700011","View Full Record in Web of Science")</f>
        <v>View Full Record in Web of Science</v>
      </c>
    </row>
    <row r="431" spans="1:72" x14ac:dyDescent="0.15">
      <c r="A431" t="s">
        <v>72</v>
      </c>
      <c r="B431" t="s">
        <v>6842</v>
      </c>
      <c r="C431" t="s">
        <v>74</v>
      </c>
      <c r="D431" t="s">
        <v>74</v>
      </c>
      <c r="E431" t="s">
        <v>74</v>
      </c>
      <c r="F431" t="s">
        <v>6843</v>
      </c>
      <c r="G431" t="s">
        <v>74</v>
      </c>
      <c r="H431" t="s">
        <v>74</v>
      </c>
      <c r="I431" t="s">
        <v>6844</v>
      </c>
      <c r="J431" t="s">
        <v>6845</v>
      </c>
      <c r="K431" t="s">
        <v>74</v>
      </c>
      <c r="L431" t="s">
        <v>74</v>
      </c>
      <c r="M431" t="s">
        <v>78</v>
      </c>
      <c r="N431" t="s">
        <v>79</v>
      </c>
      <c r="O431" t="s">
        <v>74</v>
      </c>
      <c r="P431" t="s">
        <v>74</v>
      </c>
      <c r="Q431" t="s">
        <v>74</v>
      </c>
      <c r="R431" t="s">
        <v>74</v>
      </c>
      <c r="S431" t="s">
        <v>74</v>
      </c>
      <c r="T431" t="s">
        <v>6846</v>
      </c>
      <c r="U431" t="s">
        <v>6847</v>
      </c>
      <c r="V431" t="s">
        <v>6848</v>
      </c>
      <c r="W431" t="s">
        <v>6849</v>
      </c>
      <c r="X431" t="s">
        <v>6850</v>
      </c>
      <c r="Y431" t="s">
        <v>6851</v>
      </c>
      <c r="Z431" t="s">
        <v>6852</v>
      </c>
      <c r="AA431" t="s">
        <v>74</v>
      </c>
      <c r="AB431" t="s">
        <v>74</v>
      </c>
      <c r="AC431" t="s">
        <v>74</v>
      </c>
      <c r="AD431" t="s">
        <v>74</v>
      </c>
      <c r="AE431" t="s">
        <v>74</v>
      </c>
      <c r="AF431" t="s">
        <v>74</v>
      </c>
      <c r="AG431">
        <v>42</v>
      </c>
      <c r="AH431">
        <v>17</v>
      </c>
      <c r="AI431">
        <v>21</v>
      </c>
      <c r="AJ431">
        <v>0</v>
      </c>
      <c r="AK431">
        <v>5</v>
      </c>
      <c r="AL431" t="s">
        <v>994</v>
      </c>
      <c r="AM431" t="s">
        <v>4805</v>
      </c>
      <c r="AN431" t="s">
        <v>4806</v>
      </c>
      <c r="AO431" t="s">
        <v>6853</v>
      </c>
      <c r="AP431" t="s">
        <v>6854</v>
      </c>
      <c r="AQ431" t="s">
        <v>74</v>
      </c>
      <c r="AR431" t="s">
        <v>6845</v>
      </c>
      <c r="AS431" t="s">
        <v>6855</v>
      </c>
      <c r="AT431" t="s">
        <v>6392</v>
      </c>
      <c r="AU431">
        <v>2006</v>
      </c>
      <c r="AV431">
        <v>127</v>
      </c>
      <c r="AW431" t="s">
        <v>5771</v>
      </c>
      <c r="AX431" t="s">
        <v>74</v>
      </c>
      <c r="AY431" t="s">
        <v>74</v>
      </c>
      <c r="AZ431" t="s">
        <v>74</v>
      </c>
      <c r="BA431" t="s">
        <v>74</v>
      </c>
      <c r="BB431">
        <v>341</v>
      </c>
      <c r="BC431">
        <v>349</v>
      </c>
      <c r="BD431" t="s">
        <v>74</v>
      </c>
      <c r="BE431" t="s">
        <v>6856</v>
      </c>
      <c r="BF431" t="str">
        <f>HYPERLINK("http://dx.doi.org/10.1007/s10709-005-5366-8","http://dx.doi.org/10.1007/s10709-005-5366-8")</f>
        <v>http://dx.doi.org/10.1007/s10709-005-5366-8</v>
      </c>
      <c r="BG431" t="s">
        <v>74</v>
      </c>
      <c r="BH431" t="s">
        <v>74</v>
      </c>
      <c r="BI431">
        <v>9</v>
      </c>
      <c r="BJ431" t="s">
        <v>6857</v>
      </c>
      <c r="BK431" t="s">
        <v>97</v>
      </c>
      <c r="BL431" t="s">
        <v>6857</v>
      </c>
      <c r="BM431" t="s">
        <v>6858</v>
      </c>
      <c r="BN431">
        <v>16850238</v>
      </c>
      <c r="BO431" t="s">
        <v>74</v>
      </c>
      <c r="BP431" t="s">
        <v>74</v>
      </c>
      <c r="BQ431" t="s">
        <v>74</v>
      </c>
      <c r="BR431" t="s">
        <v>100</v>
      </c>
      <c r="BS431" t="s">
        <v>6859</v>
      </c>
      <c r="BT431" t="str">
        <f>HYPERLINK("https%3A%2F%2Fwww.webofscience.com%2Fwos%2Fwoscc%2Ffull-record%2FWOS:000239164900031","View Full Record in Web of Science")</f>
        <v>View Full Record in Web of Science</v>
      </c>
    </row>
    <row r="432" spans="1:72" x14ac:dyDescent="0.15">
      <c r="A432" t="s">
        <v>72</v>
      </c>
      <c r="B432" t="s">
        <v>6860</v>
      </c>
      <c r="C432" t="s">
        <v>74</v>
      </c>
      <c r="D432" t="s">
        <v>74</v>
      </c>
      <c r="E432" t="s">
        <v>74</v>
      </c>
      <c r="F432" t="s">
        <v>6860</v>
      </c>
      <c r="G432" t="s">
        <v>74</v>
      </c>
      <c r="H432" t="s">
        <v>74</v>
      </c>
      <c r="I432" t="s">
        <v>6861</v>
      </c>
      <c r="J432" t="s">
        <v>2816</v>
      </c>
      <c r="K432" t="s">
        <v>74</v>
      </c>
      <c r="L432" t="s">
        <v>74</v>
      </c>
      <c r="M432" t="s">
        <v>78</v>
      </c>
      <c r="N432" t="s">
        <v>79</v>
      </c>
      <c r="O432" t="s">
        <v>74</v>
      </c>
      <c r="P432" t="s">
        <v>74</v>
      </c>
      <c r="Q432" t="s">
        <v>74</v>
      </c>
      <c r="R432" t="s">
        <v>74</v>
      </c>
      <c r="S432" t="s">
        <v>74</v>
      </c>
      <c r="T432" t="s">
        <v>6862</v>
      </c>
      <c r="U432" t="s">
        <v>6863</v>
      </c>
      <c r="V432" t="s">
        <v>6864</v>
      </c>
      <c r="W432" t="s">
        <v>6865</v>
      </c>
      <c r="X432" t="s">
        <v>6866</v>
      </c>
      <c r="Y432" t="s">
        <v>6867</v>
      </c>
      <c r="Z432" t="s">
        <v>6868</v>
      </c>
      <c r="AA432" t="s">
        <v>6869</v>
      </c>
      <c r="AB432" t="s">
        <v>6870</v>
      </c>
      <c r="AC432" t="s">
        <v>6871</v>
      </c>
      <c r="AD432" t="s">
        <v>2873</v>
      </c>
      <c r="AE432" t="s">
        <v>74</v>
      </c>
      <c r="AF432" t="s">
        <v>74</v>
      </c>
      <c r="AG432">
        <v>67</v>
      </c>
      <c r="AH432">
        <v>67</v>
      </c>
      <c r="AI432">
        <v>73</v>
      </c>
      <c r="AJ432">
        <v>1</v>
      </c>
      <c r="AK432">
        <v>26</v>
      </c>
      <c r="AL432" t="s">
        <v>742</v>
      </c>
      <c r="AM432" t="s">
        <v>161</v>
      </c>
      <c r="AN432" t="s">
        <v>743</v>
      </c>
      <c r="AO432" t="s">
        <v>2826</v>
      </c>
      <c r="AP432" t="s">
        <v>2827</v>
      </c>
      <c r="AQ432" t="s">
        <v>74</v>
      </c>
      <c r="AR432" t="s">
        <v>2828</v>
      </c>
      <c r="AS432" t="s">
        <v>2829</v>
      </c>
      <c r="AT432" t="s">
        <v>6372</v>
      </c>
      <c r="AU432">
        <v>2006</v>
      </c>
      <c r="AV432">
        <v>118</v>
      </c>
      <c r="AW432" t="s">
        <v>6373</v>
      </c>
      <c r="AX432" t="s">
        <v>74</v>
      </c>
      <c r="AY432" t="s">
        <v>74</v>
      </c>
      <c r="AZ432" t="s">
        <v>74</v>
      </c>
      <c r="BA432" t="s">
        <v>74</v>
      </c>
      <c r="BB432">
        <v>606</v>
      </c>
      <c r="BC432">
        <v>619</v>
      </c>
      <c r="BD432" t="s">
        <v>74</v>
      </c>
      <c r="BE432" t="s">
        <v>6872</v>
      </c>
      <c r="BF432" t="str">
        <f>HYPERLINK("http://dx.doi.org/10.1130/B25791.1","http://dx.doi.org/10.1130/B25791.1")</f>
        <v>http://dx.doi.org/10.1130/B25791.1</v>
      </c>
      <c r="BG432" t="s">
        <v>74</v>
      </c>
      <c r="BH432" t="s">
        <v>74</v>
      </c>
      <c r="BI432">
        <v>14</v>
      </c>
      <c r="BJ432" t="s">
        <v>527</v>
      </c>
      <c r="BK432" t="s">
        <v>97</v>
      </c>
      <c r="BL432" t="s">
        <v>528</v>
      </c>
      <c r="BM432" t="s">
        <v>6873</v>
      </c>
      <c r="BN432" t="s">
        <v>74</v>
      </c>
      <c r="BO432" t="s">
        <v>74</v>
      </c>
      <c r="BP432" t="s">
        <v>74</v>
      </c>
      <c r="BQ432" t="s">
        <v>74</v>
      </c>
      <c r="BR432" t="s">
        <v>100</v>
      </c>
      <c r="BS432" t="s">
        <v>6874</v>
      </c>
      <c r="BT432" t="str">
        <f>HYPERLINK("https%3A%2F%2Fwww.webofscience.com%2Fwos%2Fwoscc%2Ffull-record%2FWOS:000237310200007","View Full Record in Web of Science")</f>
        <v>View Full Record in Web of Science</v>
      </c>
    </row>
    <row r="433" spans="1:72" x14ac:dyDescent="0.15">
      <c r="A433" t="s">
        <v>72</v>
      </c>
      <c r="B433" t="s">
        <v>6875</v>
      </c>
      <c r="C433" t="s">
        <v>74</v>
      </c>
      <c r="D433" t="s">
        <v>74</v>
      </c>
      <c r="E433" t="s">
        <v>74</v>
      </c>
      <c r="F433" t="s">
        <v>6875</v>
      </c>
      <c r="G433" t="s">
        <v>74</v>
      </c>
      <c r="H433" t="s">
        <v>74</v>
      </c>
      <c r="I433" t="s">
        <v>6876</v>
      </c>
      <c r="J433" t="s">
        <v>2816</v>
      </c>
      <c r="K433" t="s">
        <v>74</v>
      </c>
      <c r="L433" t="s">
        <v>74</v>
      </c>
      <c r="M433" t="s">
        <v>78</v>
      </c>
      <c r="N433" t="s">
        <v>511</v>
      </c>
      <c r="O433" t="s">
        <v>74</v>
      </c>
      <c r="P433" t="s">
        <v>74</v>
      </c>
      <c r="Q433" t="s">
        <v>74</v>
      </c>
      <c r="R433" t="s">
        <v>74</v>
      </c>
      <c r="S433" t="s">
        <v>74</v>
      </c>
      <c r="T433" t="s">
        <v>6877</v>
      </c>
      <c r="U433" t="s">
        <v>6878</v>
      </c>
      <c r="V433" t="s">
        <v>6879</v>
      </c>
      <c r="W433" t="s">
        <v>6880</v>
      </c>
      <c r="X433" t="s">
        <v>2251</v>
      </c>
      <c r="Y433" t="s">
        <v>6881</v>
      </c>
      <c r="Z433" t="s">
        <v>6882</v>
      </c>
      <c r="AA433" t="s">
        <v>74</v>
      </c>
      <c r="AB433" t="s">
        <v>74</v>
      </c>
      <c r="AC433" t="s">
        <v>74</v>
      </c>
      <c r="AD433" t="s">
        <v>74</v>
      </c>
      <c r="AE433" t="s">
        <v>74</v>
      </c>
      <c r="AF433" t="s">
        <v>74</v>
      </c>
      <c r="AG433">
        <v>145</v>
      </c>
      <c r="AH433">
        <v>82</v>
      </c>
      <c r="AI433">
        <v>93</v>
      </c>
      <c r="AJ433">
        <v>0</v>
      </c>
      <c r="AK433">
        <v>17</v>
      </c>
      <c r="AL433" t="s">
        <v>742</v>
      </c>
      <c r="AM433" t="s">
        <v>161</v>
      </c>
      <c r="AN433" t="s">
        <v>743</v>
      </c>
      <c r="AO433" t="s">
        <v>2826</v>
      </c>
      <c r="AP433" t="s">
        <v>74</v>
      </c>
      <c r="AQ433" t="s">
        <v>74</v>
      </c>
      <c r="AR433" t="s">
        <v>2828</v>
      </c>
      <c r="AS433" t="s">
        <v>2829</v>
      </c>
      <c r="AT433" t="s">
        <v>6372</v>
      </c>
      <c r="AU433">
        <v>2006</v>
      </c>
      <c r="AV433">
        <v>118</v>
      </c>
      <c r="AW433" t="s">
        <v>6373</v>
      </c>
      <c r="AX433" t="s">
        <v>74</v>
      </c>
      <c r="AY433" t="s">
        <v>74</v>
      </c>
      <c r="AZ433" t="s">
        <v>74</v>
      </c>
      <c r="BA433" t="s">
        <v>74</v>
      </c>
      <c r="BB433">
        <v>747</v>
      </c>
      <c r="BC433">
        <v>763</v>
      </c>
      <c r="BD433" t="s">
        <v>74</v>
      </c>
      <c r="BE433" t="s">
        <v>6883</v>
      </c>
      <c r="BF433" t="str">
        <f>HYPERLINK("http://dx.doi.org/10.1130/B25739.1","http://dx.doi.org/10.1130/B25739.1")</f>
        <v>http://dx.doi.org/10.1130/B25739.1</v>
      </c>
      <c r="BG433" t="s">
        <v>74</v>
      </c>
      <c r="BH433" t="s">
        <v>74</v>
      </c>
      <c r="BI433">
        <v>17</v>
      </c>
      <c r="BJ433" t="s">
        <v>527</v>
      </c>
      <c r="BK433" t="s">
        <v>97</v>
      </c>
      <c r="BL433" t="s">
        <v>528</v>
      </c>
      <c r="BM433" t="s">
        <v>6873</v>
      </c>
      <c r="BN433" t="s">
        <v>74</v>
      </c>
      <c r="BO433" t="s">
        <v>74</v>
      </c>
      <c r="BP433" t="s">
        <v>74</v>
      </c>
      <c r="BQ433" t="s">
        <v>74</v>
      </c>
      <c r="BR433" t="s">
        <v>100</v>
      </c>
      <c r="BS433" t="s">
        <v>6884</v>
      </c>
      <c r="BT433" t="str">
        <f>HYPERLINK("https%3A%2F%2Fwww.webofscience.com%2Fwos%2Fwoscc%2Ffull-record%2FWOS:000237310200016","View Full Record in Web of Science")</f>
        <v>View Full Record in Web of Science</v>
      </c>
    </row>
    <row r="434" spans="1:72" x14ac:dyDescent="0.15">
      <c r="A434" t="s">
        <v>72</v>
      </c>
      <c r="B434" t="s">
        <v>6885</v>
      </c>
      <c r="C434" t="s">
        <v>74</v>
      </c>
      <c r="D434" t="s">
        <v>74</v>
      </c>
      <c r="E434" t="s">
        <v>74</v>
      </c>
      <c r="F434" t="s">
        <v>6885</v>
      </c>
      <c r="G434" t="s">
        <v>74</v>
      </c>
      <c r="H434" t="s">
        <v>74</v>
      </c>
      <c r="I434" t="s">
        <v>6886</v>
      </c>
      <c r="J434" t="s">
        <v>733</v>
      </c>
      <c r="K434" t="s">
        <v>74</v>
      </c>
      <c r="L434" t="s">
        <v>74</v>
      </c>
      <c r="M434" t="s">
        <v>78</v>
      </c>
      <c r="N434" t="s">
        <v>79</v>
      </c>
      <c r="O434" t="s">
        <v>74</v>
      </c>
      <c r="P434" t="s">
        <v>74</v>
      </c>
      <c r="Q434" t="s">
        <v>74</v>
      </c>
      <c r="R434" t="s">
        <v>74</v>
      </c>
      <c r="S434" t="s">
        <v>74</v>
      </c>
      <c r="T434" t="s">
        <v>6887</v>
      </c>
      <c r="U434" t="s">
        <v>6888</v>
      </c>
      <c r="V434" t="s">
        <v>6889</v>
      </c>
      <c r="W434" t="s">
        <v>6890</v>
      </c>
      <c r="X434" t="s">
        <v>6891</v>
      </c>
      <c r="Y434" t="s">
        <v>6892</v>
      </c>
      <c r="Z434" t="s">
        <v>6893</v>
      </c>
      <c r="AA434" t="s">
        <v>74</v>
      </c>
      <c r="AB434" t="s">
        <v>74</v>
      </c>
      <c r="AC434" t="s">
        <v>74</v>
      </c>
      <c r="AD434" t="s">
        <v>74</v>
      </c>
      <c r="AE434" t="s">
        <v>74</v>
      </c>
      <c r="AF434" t="s">
        <v>74</v>
      </c>
      <c r="AG434">
        <v>31</v>
      </c>
      <c r="AH434">
        <v>102</v>
      </c>
      <c r="AI434">
        <v>126</v>
      </c>
      <c r="AJ434">
        <v>0</v>
      </c>
      <c r="AK434">
        <v>31</v>
      </c>
      <c r="AL434" t="s">
        <v>742</v>
      </c>
      <c r="AM434" t="s">
        <v>161</v>
      </c>
      <c r="AN434" t="s">
        <v>743</v>
      </c>
      <c r="AO434" t="s">
        <v>744</v>
      </c>
      <c r="AP434" t="s">
        <v>745</v>
      </c>
      <c r="AQ434" t="s">
        <v>74</v>
      </c>
      <c r="AR434" t="s">
        <v>733</v>
      </c>
      <c r="AS434" t="s">
        <v>528</v>
      </c>
      <c r="AT434" t="s">
        <v>6392</v>
      </c>
      <c r="AU434">
        <v>2006</v>
      </c>
      <c r="AV434">
        <v>34</v>
      </c>
      <c r="AW434">
        <v>5</v>
      </c>
      <c r="AX434" t="s">
        <v>74</v>
      </c>
      <c r="AY434" t="s">
        <v>74</v>
      </c>
      <c r="AZ434" t="s">
        <v>74</v>
      </c>
      <c r="BA434" t="s">
        <v>74</v>
      </c>
      <c r="BB434">
        <v>377</v>
      </c>
      <c r="BC434">
        <v>380</v>
      </c>
      <c r="BD434" t="s">
        <v>74</v>
      </c>
      <c r="BE434" t="s">
        <v>6894</v>
      </c>
      <c r="BF434" t="str">
        <f>HYPERLINK("http://dx.doi.org/10.1130/G22383.1","http://dx.doi.org/10.1130/G22383.1")</f>
        <v>http://dx.doi.org/10.1130/G22383.1</v>
      </c>
      <c r="BG434" t="s">
        <v>74</v>
      </c>
      <c r="BH434" t="s">
        <v>74</v>
      </c>
      <c r="BI434">
        <v>4</v>
      </c>
      <c r="BJ434" t="s">
        <v>528</v>
      </c>
      <c r="BK434" t="s">
        <v>97</v>
      </c>
      <c r="BL434" t="s">
        <v>528</v>
      </c>
      <c r="BM434" t="s">
        <v>6895</v>
      </c>
      <c r="BN434" t="s">
        <v>74</v>
      </c>
      <c r="BO434" t="s">
        <v>74</v>
      </c>
      <c r="BP434" t="s">
        <v>74</v>
      </c>
      <c r="BQ434" t="s">
        <v>74</v>
      </c>
      <c r="BR434" t="s">
        <v>100</v>
      </c>
      <c r="BS434" t="s">
        <v>6896</v>
      </c>
      <c r="BT434" t="str">
        <f>HYPERLINK("https%3A%2F%2Fwww.webofscience.com%2Fwos%2Fwoscc%2Ffull-record%2FWOS:000237312900015","View Full Record in Web of Science")</f>
        <v>View Full Record in Web of Science</v>
      </c>
    </row>
    <row r="435" spans="1:72" x14ac:dyDescent="0.15">
      <c r="A435" t="s">
        <v>72</v>
      </c>
      <c r="B435" t="s">
        <v>6897</v>
      </c>
      <c r="C435" t="s">
        <v>74</v>
      </c>
      <c r="D435" t="s">
        <v>74</v>
      </c>
      <c r="E435" t="s">
        <v>74</v>
      </c>
      <c r="F435" t="s">
        <v>6898</v>
      </c>
      <c r="G435" t="s">
        <v>74</v>
      </c>
      <c r="H435" t="s">
        <v>74</v>
      </c>
      <c r="I435" t="s">
        <v>6899</v>
      </c>
      <c r="J435" t="s">
        <v>6900</v>
      </c>
      <c r="K435" t="s">
        <v>74</v>
      </c>
      <c r="L435" t="s">
        <v>74</v>
      </c>
      <c r="M435" t="s">
        <v>78</v>
      </c>
      <c r="N435" t="s">
        <v>79</v>
      </c>
      <c r="O435" t="s">
        <v>74</v>
      </c>
      <c r="P435" t="s">
        <v>74</v>
      </c>
      <c r="Q435" t="s">
        <v>74</v>
      </c>
      <c r="R435" t="s">
        <v>74</v>
      </c>
      <c r="S435" t="s">
        <v>74</v>
      </c>
      <c r="T435" t="s">
        <v>74</v>
      </c>
      <c r="U435" t="s">
        <v>6901</v>
      </c>
      <c r="V435" t="s">
        <v>6902</v>
      </c>
      <c r="W435" t="s">
        <v>6903</v>
      </c>
      <c r="X435" t="s">
        <v>6904</v>
      </c>
      <c r="Y435" t="s">
        <v>6905</v>
      </c>
      <c r="Z435" t="s">
        <v>6906</v>
      </c>
      <c r="AA435" t="s">
        <v>74</v>
      </c>
      <c r="AB435" t="s">
        <v>74</v>
      </c>
      <c r="AC435" t="s">
        <v>74</v>
      </c>
      <c r="AD435" t="s">
        <v>74</v>
      </c>
      <c r="AE435" t="s">
        <v>74</v>
      </c>
      <c r="AF435" t="s">
        <v>74</v>
      </c>
      <c r="AG435">
        <v>29</v>
      </c>
      <c r="AH435">
        <v>2</v>
      </c>
      <c r="AI435">
        <v>2</v>
      </c>
      <c r="AJ435">
        <v>0</v>
      </c>
      <c r="AK435">
        <v>0</v>
      </c>
      <c r="AL435" t="s">
        <v>601</v>
      </c>
      <c r="AM435" t="s">
        <v>476</v>
      </c>
      <c r="AN435" t="s">
        <v>602</v>
      </c>
      <c r="AO435" t="s">
        <v>6907</v>
      </c>
      <c r="AP435" t="s">
        <v>6908</v>
      </c>
      <c r="AQ435" t="s">
        <v>74</v>
      </c>
      <c r="AR435" t="s">
        <v>6909</v>
      </c>
      <c r="AS435" t="s">
        <v>6910</v>
      </c>
      <c r="AT435" t="s">
        <v>6392</v>
      </c>
      <c r="AU435">
        <v>2006</v>
      </c>
      <c r="AV435">
        <v>46</v>
      </c>
      <c r="AW435">
        <v>3</v>
      </c>
      <c r="AX435" t="s">
        <v>74</v>
      </c>
      <c r="AY435" t="s">
        <v>74</v>
      </c>
      <c r="AZ435" t="s">
        <v>74</v>
      </c>
      <c r="BA435" t="s">
        <v>74</v>
      </c>
      <c r="BB435">
        <v>382</v>
      </c>
      <c r="BC435">
        <v>388</v>
      </c>
      <c r="BD435" t="s">
        <v>74</v>
      </c>
      <c r="BE435" t="s">
        <v>6911</v>
      </c>
      <c r="BF435" t="str">
        <f>HYPERLINK("http://dx.doi.org/10.1134/S0016793206030133","http://dx.doi.org/10.1134/S0016793206030133")</f>
        <v>http://dx.doi.org/10.1134/S0016793206030133</v>
      </c>
      <c r="BG435" t="s">
        <v>74</v>
      </c>
      <c r="BH435" t="s">
        <v>74</v>
      </c>
      <c r="BI435">
        <v>7</v>
      </c>
      <c r="BJ435" t="s">
        <v>608</v>
      </c>
      <c r="BK435" t="s">
        <v>97</v>
      </c>
      <c r="BL435" t="s">
        <v>608</v>
      </c>
      <c r="BM435" t="s">
        <v>6912</v>
      </c>
      <c r="BN435" t="s">
        <v>74</v>
      </c>
      <c r="BO435" t="s">
        <v>74</v>
      </c>
      <c r="BP435" t="s">
        <v>74</v>
      </c>
      <c r="BQ435" t="s">
        <v>74</v>
      </c>
      <c r="BR435" t="s">
        <v>100</v>
      </c>
      <c r="BS435" t="s">
        <v>6913</v>
      </c>
      <c r="BT435" t="str">
        <f>HYPERLINK("https%3A%2F%2Fwww.webofscience.com%2Fwos%2Fwoscc%2Ffull-record%2FWOS:000244578000013","View Full Record in Web of Science")</f>
        <v>View Full Record in Web of Science</v>
      </c>
    </row>
    <row r="436" spans="1:72" x14ac:dyDescent="0.15">
      <c r="A436" t="s">
        <v>72</v>
      </c>
      <c r="B436" t="s">
        <v>6914</v>
      </c>
      <c r="C436" t="s">
        <v>74</v>
      </c>
      <c r="D436" t="s">
        <v>74</v>
      </c>
      <c r="E436" t="s">
        <v>74</v>
      </c>
      <c r="F436" t="s">
        <v>6915</v>
      </c>
      <c r="G436" t="s">
        <v>74</v>
      </c>
      <c r="H436" t="s">
        <v>74</v>
      </c>
      <c r="I436" t="s">
        <v>6916</v>
      </c>
      <c r="J436" t="s">
        <v>6917</v>
      </c>
      <c r="K436" t="s">
        <v>74</v>
      </c>
      <c r="L436" t="s">
        <v>74</v>
      </c>
      <c r="M436" t="s">
        <v>78</v>
      </c>
      <c r="N436" t="s">
        <v>79</v>
      </c>
      <c r="O436" t="s">
        <v>74</v>
      </c>
      <c r="P436" t="s">
        <v>74</v>
      </c>
      <c r="Q436" t="s">
        <v>74</v>
      </c>
      <c r="R436" t="s">
        <v>74</v>
      </c>
      <c r="S436" t="s">
        <v>74</v>
      </c>
      <c r="T436" t="s">
        <v>74</v>
      </c>
      <c r="U436" t="s">
        <v>6918</v>
      </c>
      <c r="V436" t="s">
        <v>6919</v>
      </c>
      <c r="W436" t="s">
        <v>6920</v>
      </c>
      <c r="X436" t="s">
        <v>6921</v>
      </c>
      <c r="Y436" t="s">
        <v>6922</v>
      </c>
      <c r="Z436" t="s">
        <v>6923</v>
      </c>
      <c r="AA436" t="s">
        <v>74</v>
      </c>
      <c r="AB436" t="s">
        <v>74</v>
      </c>
      <c r="AC436" t="s">
        <v>74</v>
      </c>
      <c r="AD436" t="s">
        <v>74</v>
      </c>
      <c r="AE436" t="s">
        <v>74</v>
      </c>
      <c r="AF436" t="s">
        <v>74</v>
      </c>
      <c r="AG436">
        <v>51</v>
      </c>
      <c r="AH436">
        <v>21</v>
      </c>
      <c r="AI436">
        <v>22</v>
      </c>
      <c r="AJ436">
        <v>0</v>
      </c>
      <c r="AK436">
        <v>17</v>
      </c>
      <c r="AL436" t="s">
        <v>6924</v>
      </c>
      <c r="AM436" t="s">
        <v>6925</v>
      </c>
      <c r="AN436" t="s">
        <v>6926</v>
      </c>
      <c r="AO436" t="s">
        <v>6927</v>
      </c>
      <c r="AP436" t="s">
        <v>6928</v>
      </c>
      <c r="AQ436" t="s">
        <v>74</v>
      </c>
      <c r="AR436" t="s">
        <v>6917</v>
      </c>
      <c r="AS436" t="s">
        <v>6929</v>
      </c>
      <c r="AT436" t="s">
        <v>6372</v>
      </c>
      <c r="AU436">
        <v>2006</v>
      </c>
      <c r="AV436">
        <v>71</v>
      </c>
      <c r="AW436">
        <v>3</v>
      </c>
      <c r="AX436" t="s">
        <v>74</v>
      </c>
      <c r="AY436" t="s">
        <v>74</v>
      </c>
      <c r="AZ436" t="s">
        <v>74</v>
      </c>
      <c r="BA436" t="s">
        <v>74</v>
      </c>
      <c r="BB436" t="s">
        <v>6930</v>
      </c>
      <c r="BC436" t="s">
        <v>6931</v>
      </c>
      <c r="BD436" t="s">
        <v>74</v>
      </c>
      <c r="BE436" t="s">
        <v>6932</v>
      </c>
      <c r="BF436" t="str">
        <f>HYPERLINK("http://dx.doi.org/10.1190/1.2192910","http://dx.doi.org/10.1190/1.2192910")</f>
        <v>http://dx.doi.org/10.1190/1.2192910</v>
      </c>
      <c r="BG436" t="s">
        <v>74</v>
      </c>
      <c r="BH436" t="s">
        <v>74</v>
      </c>
      <c r="BI436">
        <v>12</v>
      </c>
      <c r="BJ436" t="s">
        <v>608</v>
      </c>
      <c r="BK436" t="s">
        <v>97</v>
      </c>
      <c r="BL436" t="s">
        <v>608</v>
      </c>
      <c r="BM436" t="s">
        <v>6933</v>
      </c>
      <c r="BN436" t="s">
        <v>74</v>
      </c>
      <c r="BO436" t="s">
        <v>2216</v>
      </c>
      <c r="BP436" t="s">
        <v>74</v>
      </c>
      <c r="BQ436" t="s">
        <v>74</v>
      </c>
      <c r="BR436" t="s">
        <v>100</v>
      </c>
      <c r="BS436" t="s">
        <v>6934</v>
      </c>
      <c r="BT436" t="str">
        <f>HYPERLINK("https%3A%2F%2Fwww.webofscience.com%2Fwos%2Fwoscc%2Ffull-record%2FWOS:000238819700037","View Full Record in Web of Science")</f>
        <v>View Full Record in Web of Science</v>
      </c>
    </row>
    <row r="437" spans="1:72" x14ac:dyDescent="0.15">
      <c r="A437" t="s">
        <v>72</v>
      </c>
      <c r="B437" t="s">
        <v>6935</v>
      </c>
      <c r="C437" t="s">
        <v>74</v>
      </c>
      <c r="D437" t="s">
        <v>74</v>
      </c>
      <c r="E437" t="s">
        <v>74</v>
      </c>
      <c r="F437" t="s">
        <v>6936</v>
      </c>
      <c r="G437" t="s">
        <v>74</v>
      </c>
      <c r="H437" t="s">
        <v>74</v>
      </c>
      <c r="I437" t="s">
        <v>6937</v>
      </c>
      <c r="J437" t="s">
        <v>6938</v>
      </c>
      <c r="K437" t="s">
        <v>74</v>
      </c>
      <c r="L437" t="s">
        <v>74</v>
      </c>
      <c r="M437" t="s">
        <v>78</v>
      </c>
      <c r="N437" t="s">
        <v>79</v>
      </c>
      <c r="O437" t="s">
        <v>74</v>
      </c>
      <c r="P437" t="s">
        <v>74</v>
      </c>
      <c r="Q437" t="s">
        <v>74</v>
      </c>
      <c r="R437" t="s">
        <v>74</v>
      </c>
      <c r="S437" t="s">
        <v>74</v>
      </c>
      <c r="T437" t="s">
        <v>6939</v>
      </c>
      <c r="U437" t="s">
        <v>6940</v>
      </c>
      <c r="V437" t="s">
        <v>6941</v>
      </c>
      <c r="W437" t="s">
        <v>6942</v>
      </c>
      <c r="X437" t="s">
        <v>6943</v>
      </c>
      <c r="Y437" t="s">
        <v>6944</v>
      </c>
      <c r="Z437" t="s">
        <v>6945</v>
      </c>
      <c r="AA437" t="s">
        <v>6946</v>
      </c>
      <c r="AB437" t="s">
        <v>6947</v>
      </c>
      <c r="AC437" t="s">
        <v>74</v>
      </c>
      <c r="AD437" t="s">
        <v>74</v>
      </c>
      <c r="AE437" t="s">
        <v>74</v>
      </c>
      <c r="AF437" t="s">
        <v>74</v>
      </c>
      <c r="AG437">
        <v>62</v>
      </c>
      <c r="AH437">
        <v>64</v>
      </c>
      <c r="AI437">
        <v>75</v>
      </c>
      <c r="AJ437">
        <v>0</v>
      </c>
      <c r="AK437">
        <v>21</v>
      </c>
      <c r="AL437" t="s">
        <v>115</v>
      </c>
      <c r="AM437" t="s">
        <v>116</v>
      </c>
      <c r="AN437" t="s">
        <v>117</v>
      </c>
      <c r="AO437" t="s">
        <v>6948</v>
      </c>
      <c r="AP437" t="s">
        <v>6949</v>
      </c>
      <c r="AQ437" t="s">
        <v>74</v>
      </c>
      <c r="AR437" t="s">
        <v>6950</v>
      </c>
      <c r="AS437" t="s">
        <v>6951</v>
      </c>
      <c r="AT437" t="s">
        <v>6392</v>
      </c>
      <c r="AU437">
        <v>2006</v>
      </c>
      <c r="AV437">
        <v>75</v>
      </c>
      <c r="AW437">
        <v>3</v>
      </c>
      <c r="AX437" t="s">
        <v>74</v>
      </c>
      <c r="AY437" t="s">
        <v>74</v>
      </c>
      <c r="AZ437" t="s">
        <v>74</v>
      </c>
      <c r="BA437" t="s">
        <v>74</v>
      </c>
      <c r="BB437">
        <v>724</v>
      </c>
      <c r="BC437">
        <v>733</v>
      </c>
      <c r="BD437" t="s">
        <v>74</v>
      </c>
      <c r="BE437" t="s">
        <v>6952</v>
      </c>
      <c r="BF437" t="str">
        <f>HYPERLINK("http://dx.doi.org/10.1111/j.1365-2656.2006.01093.x","http://dx.doi.org/10.1111/j.1365-2656.2006.01093.x")</f>
        <v>http://dx.doi.org/10.1111/j.1365-2656.2006.01093.x</v>
      </c>
      <c r="BG437" t="s">
        <v>74</v>
      </c>
      <c r="BH437" t="s">
        <v>74</v>
      </c>
      <c r="BI437">
        <v>10</v>
      </c>
      <c r="BJ437" t="s">
        <v>6953</v>
      </c>
      <c r="BK437" t="s">
        <v>97</v>
      </c>
      <c r="BL437" t="s">
        <v>6954</v>
      </c>
      <c r="BM437" t="s">
        <v>6955</v>
      </c>
      <c r="BN437">
        <v>16689955</v>
      </c>
      <c r="BO437" t="s">
        <v>460</v>
      </c>
      <c r="BP437" t="s">
        <v>74</v>
      </c>
      <c r="BQ437" t="s">
        <v>74</v>
      </c>
      <c r="BR437" t="s">
        <v>100</v>
      </c>
      <c r="BS437" t="s">
        <v>6956</v>
      </c>
      <c r="BT437" t="str">
        <f>HYPERLINK("https%3A%2F%2Fwww.webofscience.com%2Fwos%2Fwoscc%2Ffull-record%2FWOS:000237517000011","View Full Record in Web of Science")</f>
        <v>View Full Record in Web of Science</v>
      </c>
    </row>
    <row r="438" spans="1:72" x14ac:dyDescent="0.15">
      <c r="A438" t="s">
        <v>72</v>
      </c>
      <c r="B438" t="s">
        <v>6957</v>
      </c>
      <c r="C438" t="s">
        <v>74</v>
      </c>
      <c r="D438" t="s">
        <v>74</v>
      </c>
      <c r="E438" t="s">
        <v>74</v>
      </c>
      <c r="F438" t="s">
        <v>6958</v>
      </c>
      <c r="G438" t="s">
        <v>74</v>
      </c>
      <c r="H438" t="s">
        <v>74</v>
      </c>
      <c r="I438" t="s">
        <v>6959</v>
      </c>
      <c r="J438" t="s">
        <v>6960</v>
      </c>
      <c r="K438" t="s">
        <v>74</v>
      </c>
      <c r="L438" t="s">
        <v>74</v>
      </c>
      <c r="M438" t="s">
        <v>78</v>
      </c>
      <c r="N438" t="s">
        <v>79</v>
      </c>
      <c r="O438" t="s">
        <v>74</v>
      </c>
      <c r="P438" t="s">
        <v>74</v>
      </c>
      <c r="Q438" t="s">
        <v>74</v>
      </c>
      <c r="R438" t="s">
        <v>74</v>
      </c>
      <c r="S438" t="s">
        <v>74</v>
      </c>
      <c r="T438" t="s">
        <v>6961</v>
      </c>
      <c r="U438" t="s">
        <v>6962</v>
      </c>
      <c r="V438" t="s">
        <v>6963</v>
      </c>
      <c r="W438" t="s">
        <v>6964</v>
      </c>
      <c r="X438" t="s">
        <v>6965</v>
      </c>
      <c r="Y438" t="s">
        <v>6966</v>
      </c>
      <c r="Z438" t="s">
        <v>6967</v>
      </c>
      <c r="AA438" t="s">
        <v>6968</v>
      </c>
      <c r="AB438" t="s">
        <v>6969</v>
      </c>
      <c r="AC438" t="s">
        <v>6970</v>
      </c>
      <c r="AD438" t="s">
        <v>413</v>
      </c>
      <c r="AE438" t="s">
        <v>74</v>
      </c>
      <c r="AF438" t="s">
        <v>74</v>
      </c>
      <c r="AG438">
        <v>54</v>
      </c>
      <c r="AH438">
        <v>17</v>
      </c>
      <c r="AI438">
        <v>20</v>
      </c>
      <c r="AJ438">
        <v>0</v>
      </c>
      <c r="AK438">
        <v>10</v>
      </c>
      <c r="AL438" t="s">
        <v>6971</v>
      </c>
      <c r="AM438" t="s">
        <v>6972</v>
      </c>
      <c r="AN438" t="s">
        <v>6973</v>
      </c>
      <c r="AO438" t="s">
        <v>6974</v>
      </c>
      <c r="AP438" t="s">
        <v>6975</v>
      </c>
      <c r="AQ438" t="s">
        <v>74</v>
      </c>
      <c r="AR438" t="s">
        <v>6976</v>
      </c>
      <c r="AS438" t="s">
        <v>6977</v>
      </c>
      <c r="AT438" t="s">
        <v>6392</v>
      </c>
      <c r="AU438">
        <v>2006</v>
      </c>
      <c r="AV438">
        <v>22</v>
      </c>
      <c r="AW438">
        <v>3</v>
      </c>
      <c r="AX438" t="s">
        <v>74</v>
      </c>
      <c r="AY438" t="s">
        <v>74</v>
      </c>
      <c r="AZ438" t="s">
        <v>74</v>
      </c>
      <c r="BA438" t="s">
        <v>74</v>
      </c>
      <c r="BB438">
        <v>625</v>
      </c>
      <c r="BC438">
        <v>639</v>
      </c>
      <c r="BD438" t="s">
        <v>74</v>
      </c>
      <c r="BE438" t="s">
        <v>6978</v>
      </c>
      <c r="BF438" t="str">
        <f>HYPERLINK("http://dx.doi.org/10.2112/04-0156.1","http://dx.doi.org/10.2112/04-0156.1")</f>
        <v>http://dx.doi.org/10.2112/04-0156.1</v>
      </c>
      <c r="BG438" t="s">
        <v>74</v>
      </c>
      <c r="BH438" t="s">
        <v>74</v>
      </c>
      <c r="BI438">
        <v>15</v>
      </c>
      <c r="BJ438" t="s">
        <v>4494</v>
      </c>
      <c r="BK438" t="s">
        <v>97</v>
      </c>
      <c r="BL438" t="s">
        <v>4495</v>
      </c>
      <c r="BM438" t="s">
        <v>6979</v>
      </c>
      <c r="BN438" t="s">
        <v>74</v>
      </c>
      <c r="BO438" t="s">
        <v>460</v>
      </c>
      <c r="BP438" t="s">
        <v>74</v>
      </c>
      <c r="BQ438" t="s">
        <v>74</v>
      </c>
      <c r="BR438" t="s">
        <v>100</v>
      </c>
      <c r="BS438" t="s">
        <v>6980</v>
      </c>
      <c r="BT438" t="str">
        <f>HYPERLINK("https%3A%2F%2Fwww.webofscience.com%2Fwos%2Fwoscc%2Ffull-record%2FWOS:000237614500013","View Full Record in Web of Science")</f>
        <v>View Full Record in Web of Science</v>
      </c>
    </row>
    <row r="439" spans="1:72" x14ac:dyDescent="0.15">
      <c r="A439" t="s">
        <v>72</v>
      </c>
      <c r="B439" t="s">
        <v>6981</v>
      </c>
      <c r="C439" t="s">
        <v>74</v>
      </c>
      <c r="D439" t="s">
        <v>74</v>
      </c>
      <c r="E439" t="s">
        <v>74</v>
      </c>
      <c r="F439" t="s">
        <v>6982</v>
      </c>
      <c r="G439" t="s">
        <v>74</v>
      </c>
      <c r="H439" t="s">
        <v>74</v>
      </c>
      <c r="I439" t="s">
        <v>6983</v>
      </c>
      <c r="J439" t="s">
        <v>6984</v>
      </c>
      <c r="K439" t="s">
        <v>74</v>
      </c>
      <c r="L439" t="s">
        <v>74</v>
      </c>
      <c r="M439" t="s">
        <v>78</v>
      </c>
      <c r="N439" t="s">
        <v>79</v>
      </c>
      <c r="O439" t="s">
        <v>74</v>
      </c>
      <c r="P439" t="s">
        <v>74</v>
      </c>
      <c r="Q439" t="s">
        <v>74</v>
      </c>
      <c r="R439" t="s">
        <v>74</v>
      </c>
      <c r="S439" t="s">
        <v>74</v>
      </c>
      <c r="T439" t="s">
        <v>6985</v>
      </c>
      <c r="U439" t="s">
        <v>6986</v>
      </c>
      <c r="V439" t="s">
        <v>6987</v>
      </c>
      <c r="W439" t="s">
        <v>6988</v>
      </c>
      <c r="X439" t="s">
        <v>6989</v>
      </c>
      <c r="Y439" t="s">
        <v>6990</v>
      </c>
      <c r="Z439" t="s">
        <v>6991</v>
      </c>
      <c r="AA439" t="s">
        <v>74</v>
      </c>
      <c r="AB439" t="s">
        <v>6992</v>
      </c>
      <c r="AC439" t="s">
        <v>74</v>
      </c>
      <c r="AD439" t="s">
        <v>74</v>
      </c>
      <c r="AE439" t="s">
        <v>74</v>
      </c>
      <c r="AF439" t="s">
        <v>74</v>
      </c>
      <c r="AG439">
        <v>46</v>
      </c>
      <c r="AH439">
        <v>18</v>
      </c>
      <c r="AI439">
        <v>22</v>
      </c>
      <c r="AJ439">
        <v>1</v>
      </c>
      <c r="AK439">
        <v>13</v>
      </c>
      <c r="AL439" t="s">
        <v>1139</v>
      </c>
      <c r="AM439" t="s">
        <v>476</v>
      </c>
      <c r="AN439" t="s">
        <v>1140</v>
      </c>
      <c r="AO439" t="s">
        <v>6993</v>
      </c>
      <c r="AP439" t="s">
        <v>6994</v>
      </c>
      <c r="AQ439" t="s">
        <v>74</v>
      </c>
      <c r="AR439" t="s">
        <v>6995</v>
      </c>
      <c r="AS439" t="s">
        <v>6996</v>
      </c>
      <c r="AT439" t="s">
        <v>6392</v>
      </c>
      <c r="AU439">
        <v>2006</v>
      </c>
      <c r="AV439">
        <v>73</v>
      </c>
      <c r="AW439">
        <v>2</v>
      </c>
      <c r="AX439" t="s">
        <v>74</v>
      </c>
      <c r="AY439" t="s">
        <v>74</v>
      </c>
      <c r="AZ439" t="s">
        <v>74</v>
      </c>
      <c r="BA439" t="s">
        <v>74</v>
      </c>
      <c r="BB439">
        <v>235</v>
      </c>
      <c r="BC439">
        <v>243</v>
      </c>
      <c r="BD439" t="s">
        <v>74</v>
      </c>
      <c r="BE439" t="s">
        <v>6997</v>
      </c>
      <c r="BF439" t="str">
        <f>HYPERLINK("http://dx.doi.org/10.1017/S0022029906001749","http://dx.doi.org/10.1017/S0022029906001749")</f>
        <v>http://dx.doi.org/10.1017/S0022029906001749</v>
      </c>
      <c r="BG439" t="s">
        <v>74</v>
      </c>
      <c r="BH439" t="s">
        <v>74</v>
      </c>
      <c r="BI439">
        <v>9</v>
      </c>
      <c r="BJ439" t="s">
        <v>6998</v>
      </c>
      <c r="BK439" t="s">
        <v>97</v>
      </c>
      <c r="BL439" t="s">
        <v>6999</v>
      </c>
      <c r="BM439" t="s">
        <v>7000</v>
      </c>
      <c r="BN439">
        <v>16566854</v>
      </c>
      <c r="BO439" t="s">
        <v>74</v>
      </c>
      <c r="BP439" t="s">
        <v>74</v>
      </c>
      <c r="BQ439" t="s">
        <v>74</v>
      </c>
      <c r="BR439" t="s">
        <v>100</v>
      </c>
      <c r="BS439" t="s">
        <v>7001</v>
      </c>
      <c r="BT439" t="str">
        <f>HYPERLINK("https%3A%2F%2Fwww.webofscience.com%2Fwos%2Fwoscc%2Ffull-record%2FWOS:000238129900014","View Full Record in Web of Science")</f>
        <v>View Full Record in Web of Science</v>
      </c>
    </row>
    <row r="440" spans="1:72" x14ac:dyDescent="0.15">
      <c r="A440" t="s">
        <v>72</v>
      </c>
      <c r="B440" t="s">
        <v>7002</v>
      </c>
      <c r="C440" t="s">
        <v>74</v>
      </c>
      <c r="D440" t="s">
        <v>74</v>
      </c>
      <c r="E440" t="s">
        <v>74</v>
      </c>
      <c r="F440" t="s">
        <v>7003</v>
      </c>
      <c r="G440" t="s">
        <v>74</v>
      </c>
      <c r="H440" t="s">
        <v>74</v>
      </c>
      <c r="I440" t="s">
        <v>7004</v>
      </c>
      <c r="J440" t="s">
        <v>7005</v>
      </c>
      <c r="K440" t="s">
        <v>74</v>
      </c>
      <c r="L440" t="s">
        <v>74</v>
      </c>
      <c r="M440" t="s">
        <v>78</v>
      </c>
      <c r="N440" t="s">
        <v>511</v>
      </c>
      <c r="O440" t="s">
        <v>74</v>
      </c>
      <c r="P440" t="s">
        <v>74</v>
      </c>
      <c r="Q440" t="s">
        <v>74</v>
      </c>
      <c r="R440" t="s">
        <v>74</v>
      </c>
      <c r="S440" t="s">
        <v>74</v>
      </c>
      <c r="T440" t="s">
        <v>74</v>
      </c>
      <c r="U440" t="s">
        <v>7006</v>
      </c>
      <c r="V440" t="s">
        <v>7007</v>
      </c>
      <c r="W440" t="s">
        <v>7008</v>
      </c>
      <c r="X440" t="s">
        <v>7009</v>
      </c>
      <c r="Y440" t="s">
        <v>7010</v>
      </c>
      <c r="Z440" t="s">
        <v>74</v>
      </c>
      <c r="AA440" t="s">
        <v>7011</v>
      </c>
      <c r="AB440" t="s">
        <v>7012</v>
      </c>
      <c r="AC440" t="s">
        <v>74</v>
      </c>
      <c r="AD440" t="s">
        <v>74</v>
      </c>
      <c r="AE440" t="s">
        <v>74</v>
      </c>
      <c r="AF440" t="s">
        <v>74</v>
      </c>
      <c r="AG440">
        <v>84</v>
      </c>
      <c r="AH440">
        <v>20</v>
      </c>
      <c r="AI440">
        <v>27</v>
      </c>
      <c r="AJ440">
        <v>2</v>
      </c>
      <c r="AK440">
        <v>18</v>
      </c>
      <c r="AL440" t="s">
        <v>7013</v>
      </c>
      <c r="AM440" t="s">
        <v>7014</v>
      </c>
      <c r="AN440" t="s">
        <v>7015</v>
      </c>
      <c r="AO440" t="s">
        <v>7016</v>
      </c>
      <c r="AP440" t="s">
        <v>7017</v>
      </c>
      <c r="AQ440" t="s">
        <v>74</v>
      </c>
      <c r="AR440" t="s">
        <v>7018</v>
      </c>
      <c r="AS440" t="s">
        <v>7019</v>
      </c>
      <c r="AT440" t="s">
        <v>6372</v>
      </c>
      <c r="AU440">
        <v>2006</v>
      </c>
      <c r="AV440">
        <v>42</v>
      </c>
      <c r="AW440">
        <v>3</v>
      </c>
      <c r="AX440" t="s">
        <v>74</v>
      </c>
      <c r="AY440" t="s">
        <v>74</v>
      </c>
      <c r="AZ440" t="s">
        <v>74</v>
      </c>
      <c r="BA440" t="s">
        <v>74</v>
      </c>
      <c r="BB440">
        <v>243</v>
      </c>
      <c r="BC440">
        <v>252</v>
      </c>
      <c r="BD440" t="s">
        <v>74</v>
      </c>
      <c r="BE440" t="s">
        <v>7020</v>
      </c>
      <c r="BF440" t="str">
        <f>HYPERLINK("http://dx.doi.org/10.1134/S002209300603001X","http://dx.doi.org/10.1134/S002209300603001X")</f>
        <v>http://dx.doi.org/10.1134/S002209300603001X</v>
      </c>
      <c r="BG440" t="s">
        <v>74</v>
      </c>
      <c r="BH440" t="s">
        <v>74</v>
      </c>
      <c r="BI440">
        <v>10</v>
      </c>
      <c r="BJ440" t="s">
        <v>7021</v>
      </c>
      <c r="BK440" t="s">
        <v>97</v>
      </c>
      <c r="BL440" t="s">
        <v>7021</v>
      </c>
      <c r="BM440" t="s">
        <v>7022</v>
      </c>
      <c r="BN440" t="s">
        <v>74</v>
      </c>
      <c r="BO440" t="s">
        <v>74</v>
      </c>
      <c r="BP440" t="s">
        <v>74</v>
      </c>
      <c r="BQ440" t="s">
        <v>74</v>
      </c>
      <c r="BR440" t="s">
        <v>100</v>
      </c>
      <c r="BS440" t="s">
        <v>7023</v>
      </c>
      <c r="BT440" t="str">
        <f>HYPERLINK("https%3A%2F%2Fwww.webofscience.com%2Fwos%2Fwoscc%2Ffull-record%2FWOS:000239573900001","View Full Record in Web of Science")</f>
        <v>View Full Record in Web of Science</v>
      </c>
    </row>
    <row r="441" spans="1:72" x14ac:dyDescent="0.15">
      <c r="A441" t="s">
        <v>72</v>
      </c>
      <c r="B441" t="s">
        <v>7024</v>
      </c>
      <c r="C441" t="s">
        <v>74</v>
      </c>
      <c r="D441" t="s">
        <v>74</v>
      </c>
      <c r="E441" t="s">
        <v>74</v>
      </c>
      <c r="F441" t="s">
        <v>7025</v>
      </c>
      <c r="G441" t="s">
        <v>74</v>
      </c>
      <c r="H441" t="s">
        <v>74</v>
      </c>
      <c r="I441" t="s">
        <v>7026</v>
      </c>
      <c r="J441" t="s">
        <v>3139</v>
      </c>
      <c r="K441" t="s">
        <v>74</v>
      </c>
      <c r="L441" t="s">
        <v>74</v>
      </c>
      <c r="M441" t="s">
        <v>78</v>
      </c>
      <c r="N441" t="s">
        <v>79</v>
      </c>
      <c r="O441" t="s">
        <v>74</v>
      </c>
      <c r="P441" t="s">
        <v>74</v>
      </c>
      <c r="Q441" t="s">
        <v>74</v>
      </c>
      <c r="R441" t="s">
        <v>74</v>
      </c>
      <c r="S441" t="s">
        <v>74</v>
      </c>
      <c r="T441" t="s">
        <v>74</v>
      </c>
      <c r="U441" t="s">
        <v>7027</v>
      </c>
      <c r="V441" t="s">
        <v>7028</v>
      </c>
      <c r="W441" t="s">
        <v>7029</v>
      </c>
      <c r="X441" t="s">
        <v>7030</v>
      </c>
      <c r="Y441" t="s">
        <v>7031</v>
      </c>
      <c r="Z441" t="s">
        <v>7032</v>
      </c>
      <c r="AA441" t="s">
        <v>7033</v>
      </c>
      <c r="AB441" t="s">
        <v>7034</v>
      </c>
      <c r="AC441" t="s">
        <v>74</v>
      </c>
      <c r="AD441" t="s">
        <v>74</v>
      </c>
      <c r="AE441" t="s">
        <v>74</v>
      </c>
      <c r="AF441" t="s">
        <v>74</v>
      </c>
      <c r="AG441">
        <v>40</v>
      </c>
      <c r="AH441">
        <v>24</v>
      </c>
      <c r="AI441">
        <v>24</v>
      </c>
      <c r="AJ441">
        <v>1</v>
      </c>
      <c r="AK441">
        <v>7</v>
      </c>
      <c r="AL441" t="s">
        <v>3148</v>
      </c>
      <c r="AM441" t="s">
        <v>3149</v>
      </c>
      <c r="AN441" t="s">
        <v>3150</v>
      </c>
      <c r="AO441" t="s">
        <v>3151</v>
      </c>
      <c r="AP441" t="s">
        <v>3152</v>
      </c>
      <c r="AQ441" t="s">
        <v>74</v>
      </c>
      <c r="AR441" t="s">
        <v>3153</v>
      </c>
      <c r="AS441" t="s">
        <v>3154</v>
      </c>
      <c r="AT441" t="s">
        <v>6392</v>
      </c>
      <c r="AU441">
        <v>2006</v>
      </c>
      <c r="AV441">
        <v>64</v>
      </c>
      <c r="AW441">
        <v>3</v>
      </c>
      <c r="AX441" t="s">
        <v>74</v>
      </c>
      <c r="AY441" t="s">
        <v>74</v>
      </c>
      <c r="AZ441" t="s">
        <v>74</v>
      </c>
      <c r="BA441" t="s">
        <v>74</v>
      </c>
      <c r="BB441">
        <v>355</v>
      </c>
      <c r="BC441">
        <v>392</v>
      </c>
      <c r="BD441" t="s">
        <v>74</v>
      </c>
      <c r="BE441" t="s">
        <v>7035</v>
      </c>
      <c r="BF441" t="str">
        <f>HYPERLINK("http://dx.doi.org/10.1357/002224006778189608","http://dx.doi.org/10.1357/002224006778189608")</f>
        <v>http://dx.doi.org/10.1357/002224006778189608</v>
      </c>
      <c r="BG441" t="s">
        <v>74</v>
      </c>
      <c r="BH441" t="s">
        <v>74</v>
      </c>
      <c r="BI441">
        <v>38</v>
      </c>
      <c r="BJ441" t="s">
        <v>1069</v>
      </c>
      <c r="BK441" t="s">
        <v>97</v>
      </c>
      <c r="BL441" t="s">
        <v>1069</v>
      </c>
      <c r="BM441" t="s">
        <v>7036</v>
      </c>
      <c r="BN441" t="s">
        <v>74</v>
      </c>
      <c r="BO441" t="s">
        <v>99</v>
      </c>
      <c r="BP441" t="s">
        <v>74</v>
      </c>
      <c r="BQ441" t="s">
        <v>74</v>
      </c>
      <c r="BR441" t="s">
        <v>100</v>
      </c>
      <c r="BS441" t="s">
        <v>7037</v>
      </c>
      <c r="BT441" t="str">
        <f>HYPERLINK("https%3A%2F%2Fwww.webofscience.com%2Fwos%2Fwoscc%2Ffull-record%2FWOS:000240251400002","View Full Record in Web of Science")</f>
        <v>View Full Record in Web of Science</v>
      </c>
    </row>
    <row r="442" spans="1:72" x14ac:dyDescent="0.15">
      <c r="A442" t="s">
        <v>72</v>
      </c>
      <c r="B442" t="s">
        <v>7038</v>
      </c>
      <c r="C442" t="s">
        <v>74</v>
      </c>
      <c r="D442" t="s">
        <v>74</v>
      </c>
      <c r="E442" t="s">
        <v>74</v>
      </c>
      <c r="F442" t="s">
        <v>7039</v>
      </c>
      <c r="G442" t="s">
        <v>74</v>
      </c>
      <c r="H442" t="s">
        <v>74</v>
      </c>
      <c r="I442" t="s">
        <v>7040</v>
      </c>
      <c r="J442" t="s">
        <v>7041</v>
      </c>
      <c r="K442" t="s">
        <v>74</v>
      </c>
      <c r="L442" t="s">
        <v>74</v>
      </c>
      <c r="M442" t="s">
        <v>78</v>
      </c>
      <c r="N442" t="s">
        <v>79</v>
      </c>
      <c r="O442" t="s">
        <v>74</v>
      </c>
      <c r="P442" t="s">
        <v>74</v>
      </c>
      <c r="Q442" t="s">
        <v>74</v>
      </c>
      <c r="R442" t="s">
        <v>74</v>
      </c>
      <c r="S442" t="s">
        <v>74</v>
      </c>
      <c r="T442" t="s">
        <v>7042</v>
      </c>
      <c r="U442" t="s">
        <v>7043</v>
      </c>
      <c r="V442" t="s">
        <v>7044</v>
      </c>
      <c r="W442" t="s">
        <v>7045</v>
      </c>
      <c r="X442" t="s">
        <v>7046</v>
      </c>
      <c r="Y442" t="s">
        <v>7047</v>
      </c>
      <c r="Z442" t="s">
        <v>7048</v>
      </c>
      <c r="AA442" t="s">
        <v>7049</v>
      </c>
      <c r="AB442" t="s">
        <v>7050</v>
      </c>
      <c r="AC442" t="s">
        <v>74</v>
      </c>
      <c r="AD442" t="s">
        <v>74</v>
      </c>
      <c r="AE442" t="s">
        <v>74</v>
      </c>
      <c r="AF442" t="s">
        <v>74</v>
      </c>
      <c r="AG442">
        <v>99</v>
      </c>
      <c r="AH442">
        <v>47</v>
      </c>
      <c r="AI442">
        <v>48</v>
      </c>
      <c r="AJ442">
        <v>1</v>
      </c>
      <c r="AK442">
        <v>23</v>
      </c>
      <c r="AL442" t="s">
        <v>519</v>
      </c>
      <c r="AM442" t="s">
        <v>520</v>
      </c>
      <c r="AN442" t="s">
        <v>521</v>
      </c>
      <c r="AO442" t="s">
        <v>7051</v>
      </c>
      <c r="AP442" t="s">
        <v>7052</v>
      </c>
      <c r="AQ442" t="s">
        <v>74</v>
      </c>
      <c r="AR442" t="s">
        <v>7053</v>
      </c>
      <c r="AS442" t="s">
        <v>7054</v>
      </c>
      <c r="AT442" t="s">
        <v>6392</v>
      </c>
      <c r="AU442">
        <v>2006</v>
      </c>
      <c r="AV442">
        <v>60</v>
      </c>
      <c r="AW442" t="s">
        <v>1243</v>
      </c>
      <c r="AX442" t="s">
        <v>74</v>
      </c>
      <c r="AY442" t="s">
        <v>74</v>
      </c>
      <c r="AZ442" t="s">
        <v>74</v>
      </c>
      <c r="BA442" t="s">
        <v>74</v>
      </c>
      <c r="BB442">
        <v>255</v>
      </c>
      <c r="BC442">
        <v>267</v>
      </c>
      <c r="BD442" t="s">
        <v>74</v>
      </c>
      <c r="BE442" t="s">
        <v>7055</v>
      </c>
      <c r="BF442" t="str">
        <f>HYPERLINK("http://dx.doi.org/10.1016/j.jmarsys.2006.01.006","http://dx.doi.org/10.1016/j.jmarsys.2006.01.006")</f>
        <v>http://dx.doi.org/10.1016/j.jmarsys.2006.01.006</v>
      </c>
      <c r="BG442" t="s">
        <v>74</v>
      </c>
      <c r="BH442" t="s">
        <v>74</v>
      </c>
      <c r="BI442">
        <v>13</v>
      </c>
      <c r="BJ442" t="s">
        <v>7056</v>
      </c>
      <c r="BK442" t="s">
        <v>97</v>
      </c>
      <c r="BL442" t="s">
        <v>7057</v>
      </c>
      <c r="BM442" t="s">
        <v>7058</v>
      </c>
      <c r="BN442" t="s">
        <v>74</v>
      </c>
      <c r="BO442" t="s">
        <v>74</v>
      </c>
      <c r="BP442" t="s">
        <v>74</v>
      </c>
      <c r="BQ442" t="s">
        <v>74</v>
      </c>
      <c r="BR442" t="s">
        <v>100</v>
      </c>
      <c r="BS442" t="s">
        <v>7059</v>
      </c>
      <c r="BT442" t="str">
        <f>HYPERLINK("https%3A%2F%2Fwww.webofscience.com%2Fwos%2Fwoscc%2Ffull-record%2FWOS:000238331500005","View Full Record in Web of Science")</f>
        <v>View Full Record in Web of Science</v>
      </c>
    </row>
    <row r="443" spans="1:72" x14ac:dyDescent="0.15">
      <c r="A443" t="s">
        <v>72</v>
      </c>
      <c r="B443" t="s">
        <v>7060</v>
      </c>
      <c r="C443" t="s">
        <v>74</v>
      </c>
      <c r="D443" t="s">
        <v>74</v>
      </c>
      <c r="E443" t="s">
        <v>74</v>
      </c>
      <c r="F443" t="s">
        <v>7061</v>
      </c>
      <c r="G443" t="s">
        <v>74</v>
      </c>
      <c r="H443" t="s">
        <v>74</v>
      </c>
      <c r="I443" t="s">
        <v>7062</v>
      </c>
      <c r="J443" t="s">
        <v>7063</v>
      </c>
      <c r="K443" t="s">
        <v>74</v>
      </c>
      <c r="L443" t="s">
        <v>74</v>
      </c>
      <c r="M443" t="s">
        <v>78</v>
      </c>
      <c r="N443" t="s">
        <v>79</v>
      </c>
      <c r="O443" t="s">
        <v>74</v>
      </c>
      <c r="P443" t="s">
        <v>74</v>
      </c>
      <c r="Q443" t="s">
        <v>74</v>
      </c>
      <c r="R443" t="s">
        <v>74</v>
      </c>
      <c r="S443" t="s">
        <v>74</v>
      </c>
      <c r="T443" t="s">
        <v>7064</v>
      </c>
      <c r="U443" t="s">
        <v>7065</v>
      </c>
      <c r="V443" t="s">
        <v>7066</v>
      </c>
      <c r="W443" t="s">
        <v>7067</v>
      </c>
      <c r="X443" t="s">
        <v>7068</v>
      </c>
      <c r="Y443" t="s">
        <v>7069</v>
      </c>
      <c r="Z443" t="s">
        <v>7070</v>
      </c>
      <c r="AA443" t="s">
        <v>7071</v>
      </c>
      <c r="AB443" t="s">
        <v>7072</v>
      </c>
      <c r="AC443" t="s">
        <v>74</v>
      </c>
      <c r="AD443" t="s">
        <v>74</v>
      </c>
      <c r="AE443" t="s">
        <v>74</v>
      </c>
      <c r="AF443" t="s">
        <v>74</v>
      </c>
      <c r="AG443">
        <v>55</v>
      </c>
      <c r="AH443">
        <v>53</v>
      </c>
      <c r="AI443">
        <v>56</v>
      </c>
      <c r="AJ443">
        <v>0</v>
      </c>
      <c r="AK443">
        <v>12</v>
      </c>
      <c r="AL443" t="s">
        <v>115</v>
      </c>
      <c r="AM443" t="s">
        <v>116</v>
      </c>
      <c r="AN443" t="s">
        <v>117</v>
      </c>
      <c r="AO443" t="s">
        <v>7073</v>
      </c>
      <c r="AP443" t="s">
        <v>7074</v>
      </c>
      <c r="AQ443" t="s">
        <v>74</v>
      </c>
      <c r="AR443" t="s">
        <v>7075</v>
      </c>
      <c r="AS443" t="s">
        <v>7076</v>
      </c>
      <c r="AT443" t="s">
        <v>6392</v>
      </c>
      <c r="AU443">
        <v>2006</v>
      </c>
      <c r="AV443">
        <v>21</v>
      </c>
      <c r="AW443">
        <v>4</v>
      </c>
      <c r="AX443" t="s">
        <v>74</v>
      </c>
      <c r="AY443" t="s">
        <v>74</v>
      </c>
      <c r="AZ443" t="s">
        <v>74</v>
      </c>
      <c r="BA443" t="s">
        <v>74</v>
      </c>
      <c r="BB443">
        <v>363</v>
      </c>
      <c r="BC443">
        <v>376</v>
      </c>
      <c r="BD443" t="s">
        <v>74</v>
      </c>
      <c r="BE443" t="s">
        <v>7077</v>
      </c>
      <c r="BF443" t="str">
        <f>HYPERLINK("http://dx.doi.org/10.1002/jqs.989","http://dx.doi.org/10.1002/jqs.989")</f>
        <v>http://dx.doi.org/10.1002/jqs.989</v>
      </c>
      <c r="BG443" t="s">
        <v>74</v>
      </c>
      <c r="BH443" t="s">
        <v>74</v>
      </c>
      <c r="BI443">
        <v>14</v>
      </c>
      <c r="BJ443" t="s">
        <v>2893</v>
      </c>
      <c r="BK443" t="s">
        <v>97</v>
      </c>
      <c r="BL443" t="s">
        <v>2894</v>
      </c>
      <c r="BM443" t="s">
        <v>7078</v>
      </c>
      <c r="BN443" t="s">
        <v>74</v>
      </c>
      <c r="BO443" t="s">
        <v>74</v>
      </c>
      <c r="BP443" t="s">
        <v>74</v>
      </c>
      <c r="BQ443" t="s">
        <v>74</v>
      </c>
      <c r="BR443" t="s">
        <v>100</v>
      </c>
      <c r="BS443" t="s">
        <v>7079</v>
      </c>
      <c r="BT443" t="str">
        <f>HYPERLINK("https%3A%2F%2Fwww.webofscience.com%2Fwos%2Fwoscc%2Ffull-record%2FWOS:000237875000005","View Full Record in Web of Science")</f>
        <v>View Full Record in Web of Science</v>
      </c>
    </row>
    <row r="444" spans="1:72" x14ac:dyDescent="0.15">
      <c r="A444" t="s">
        <v>72</v>
      </c>
      <c r="B444" t="s">
        <v>7080</v>
      </c>
      <c r="C444" t="s">
        <v>74</v>
      </c>
      <c r="D444" t="s">
        <v>74</v>
      </c>
      <c r="E444" t="s">
        <v>74</v>
      </c>
      <c r="F444" t="s">
        <v>7080</v>
      </c>
      <c r="G444" t="s">
        <v>74</v>
      </c>
      <c r="H444" t="s">
        <v>74</v>
      </c>
      <c r="I444" t="s">
        <v>7081</v>
      </c>
      <c r="J444" t="s">
        <v>3216</v>
      </c>
      <c r="K444" t="s">
        <v>74</v>
      </c>
      <c r="L444" t="s">
        <v>74</v>
      </c>
      <c r="M444" t="s">
        <v>78</v>
      </c>
      <c r="N444" t="s">
        <v>79</v>
      </c>
      <c r="O444" t="s">
        <v>74</v>
      </c>
      <c r="P444" t="s">
        <v>74</v>
      </c>
      <c r="Q444" t="s">
        <v>74</v>
      </c>
      <c r="R444" t="s">
        <v>74</v>
      </c>
      <c r="S444" t="s">
        <v>74</v>
      </c>
      <c r="T444" t="s">
        <v>74</v>
      </c>
      <c r="U444" t="s">
        <v>7082</v>
      </c>
      <c r="V444" t="s">
        <v>7083</v>
      </c>
      <c r="W444" t="s">
        <v>7084</v>
      </c>
      <c r="X444" t="s">
        <v>7085</v>
      </c>
      <c r="Y444" t="s">
        <v>7086</v>
      </c>
      <c r="Z444" t="s">
        <v>7087</v>
      </c>
      <c r="AA444" t="s">
        <v>74</v>
      </c>
      <c r="AB444" t="s">
        <v>7088</v>
      </c>
      <c r="AC444" t="s">
        <v>74</v>
      </c>
      <c r="AD444" t="s">
        <v>74</v>
      </c>
      <c r="AE444" t="s">
        <v>74</v>
      </c>
      <c r="AF444" t="s">
        <v>74</v>
      </c>
      <c r="AG444">
        <v>29</v>
      </c>
      <c r="AH444">
        <v>92</v>
      </c>
      <c r="AI444">
        <v>106</v>
      </c>
      <c r="AJ444">
        <v>0</v>
      </c>
      <c r="AK444">
        <v>17</v>
      </c>
      <c r="AL444" t="s">
        <v>861</v>
      </c>
      <c r="AM444" t="s">
        <v>862</v>
      </c>
      <c r="AN444" t="s">
        <v>863</v>
      </c>
      <c r="AO444" t="s">
        <v>3225</v>
      </c>
      <c r="AP444" t="s">
        <v>74</v>
      </c>
      <c r="AQ444" t="s">
        <v>74</v>
      </c>
      <c r="AR444" t="s">
        <v>3227</v>
      </c>
      <c r="AS444" t="s">
        <v>3228</v>
      </c>
      <c r="AT444" t="s">
        <v>6392</v>
      </c>
      <c r="AU444">
        <v>2006</v>
      </c>
      <c r="AV444">
        <v>63</v>
      </c>
      <c r="AW444">
        <v>5</v>
      </c>
      <c r="AX444" t="s">
        <v>74</v>
      </c>
      <c r="AY444" t="s">
        <v>74</v>
      </c>
      <c r="AZ444" t="s">
        <v>74</v>
      </c>
      <c r="BA444" t="s">
        <v>74</v>
      </c>
      <c r="BB444">
        <v>1498</v>
      </c>
      <c r="BC444">
        <v>1511</v>
      </c>
      <c r="BD444" t="s">
        <v>74</v>
      </c>
      <c r="BE444" t="s">
        <v>7089</v>
      </c>
      <c r="BF444" t="str">
        <f>HYPERLINK("http://dx.doi.org/10.1175/JAS3695.1","http://dx.doi.org/10.1175/JAS3695.1")</f>
        <v>http://dx.doi.org/10.1175/JAS3695.1</v>
      </c>
      <c r="BG444" t="s">
        <v>74</v>
      </c>
      <c r="BH444" t="s">
        <v>74</v>
      </c>
      <c r="BI444">
        <v>14</v>
      </c>
      <c r="BJ444" t="s">
        <v>869</v>
      </c>
      <c r="BK444" t="s">
        <v>97</v>
      </c>
      <c r="BL444" t="s">
        <v>869</v>
      </c>
      <c r="BM444" t="s">
        <v>7090</v>
      </c>
      <c r="BN444" t="s">
        <v>74</v>
      </c>
      <c r="BO444" t="s">
        <v>74</v>
      </c>
      <c r="BP444" t="s">
        <v>74</v>
      </c>
      <c r="BQ444" t="s">
        <v>74</v>
      </c>
      <c r="BR444" t="s">
        <v>100</v>
      </c>
      <c r="BS444" t="s">
        <v>7091</v>
      </c>
      <c r="BT444" t="str">
        <f>HYPERLINK("https%3A%2F%2Fwww.webofscience.com%2Fwos%2Fwoscc%2Ffull-record%2FWOS:000237559400009","View Full Record in Web of Science")</f>
        <v>View Full Record in Web of Science</v>
      </c>
    </row>
    <row r="445" spans="1:72" x14ac:dyDescent="0.15">
      <c r="A445" t="s">
        <v>72</v>
      </c>
      <c r="B445" t="s">
        <v>7092</v>
      </c>
      <c r="C445" t="s">
        <v>74</v>
      </c>
      <c r="D445" t="s">
        <v>74</v>
      </c>
      <c r="E445" t="s">
        <v>74</v>
      </c>
      <c r="F445" t="s">
        <v>7093</v>
      </c>
      <c r="G445" t="s">
        <v>74</v>
      </c>
      <c r="H445" t="s">
        <v>74</v>
      </c>
      <c r="I445" t="s">
        <v>7094</v>
      </c>
      <c r="J445" t="s">
        <v>7095</v>
      </c>
      <c r="K445" t="s">
        <v>74</v>
      </c>
      <c r="L445" t="s">
        <v>74</v>
      </c>
      <c r="M445" t="s">
        <v>7096</v>
      </c>
      <c r="N445" t="s">
        <v>79</v>
      </c>
      <c r="O445" t="s">
        <v>74</v>
      </c>
      <c r="P445" t="s">
        <v>74</v>
      </c>
      <c r="Q445" t="s">
        <v>74</v>
      </c>
      <c r="R445" t="s">
        <v>74</v>
      </c>
      <c r="S445" t="s">
        <v>74</v>
      </c>
      <c r="T445" t="s">
        <v>7097</v>
      </c>
      <c r="U445" t="s">
        <v>74</v>
      </c>
      <c r="V445" t="s">
        <v>7098</v>
      </c>
      <c r="W445" t="s">
        <v>7099</v>
      </c>
      <c r="X445" t="s">
        <v>7100</v>
      </c>
      <c r="Y445" t="s">
        <v>7101</v>
      </c>
      <c r="Z445" t="s">
        <v>74</v>
      </c>
      <c r="AA445" t="s">
        <v>74</v>
      </c>
      <c r="AB445" t="s">
        <v>74</v>
      </c>
      <c r="AC445" t="s">
        <v>74</v>
      </c>
      <c r="AD445" t="s">
        <v>74</v>
      </c>
      <c r="AE445" t="s">
        <v>74</v>
      </c>
      <c r="AF445" t="s">
        <v>74</v>
      </c>
      <c r="AG445">
        <v>8</v>
      </c>
      <c r="AH445">
        <v>1</v>
      </c>
      <c r="AI445">
        <v>1</v>
      </c>
      <c r="AJ445">
        <v>1</v>
      </c>
      <c r="AK445">
        <v>10</v>
      </c>
      <c r="AL445" t="s">
        <v>7102</v>
      </c>
      <c r="AM445" t="s">
        <v>7103</v>
      </c>
      <c r="AN445" t="s">
        <v>7104</v>
      </c>
      <c r="AO445" t="s">
        <v>7105</v>
      </c>
      <c r="AP445" t="s">
        <v>7106</v>
      </c>
      <c r="AQ445" t="s">
        <v>74</v>
      </c>
      <c r="AR445" t="s">
        <v>7107</v>
      </c>
      <c r="AS445" t="s">
        <v>7108</v>
      </c>
      <c r="AT445" t="s">
        <v>6392</v>
      </c>
      <c r="AU445">
        <v>2006</v>
      </c>
      <c r="AV445">
        <v>70</v>
      </c>
      <c r="AW445">
        <v>5</v>
      </c>
      <c r="AX445" t="s">
        <v>74</v>
      </c>
      <c r="AY445" t="s">
        <v>74</v>
      </c>
      <c r="AZ445" t="s">
        <v>74</v>
      </c>
      <c r="BA445" t="s">
        <v>74</v>
      </c>
      <c r="BB445">
        <v>420</v>
      </c>
      <c r="BC445">
        <v>426</v>
      </c>
      <c r="BD445" t="s">
        <v>74</v>
      </c>
      <c r="BE445" t="s">
        <v>7109</v>
      </c>
      <c r="BF445" t="str">
        <f>HYPERLINK("http://dx.doi.org/10.2320/jinstmet.70.420","http://dx.doi.org/10.2320/jinstmet.70.420")</f>
        <v>http://dx.doi.org/10.2320/jinstmet.70.420</v>
      </c>
      <c r="BG445" t="s">
        <v>74</v>
      </c>
      <c r="BH445" t="s">
        <v>74</v>
      </c>
      <c r="BI445">
        <v>7</v>
      </c>
      <c r="BJ445" t="s">
        <v>7110</v>
      </c>
      <c r="BK445" t="s">
        <v>97</v>
      </c>
      <c r="BL445" t="s">
        <v>7110</v>
      </c>
      <c r="BM445" t="s">
        <v>7111</v>
      </c>
      <c r="BN445" t="s">
        <v>74</v>
      </c>
      <c r="BO445" t="s">
        <v>460</v>
      </c>
      <c r="BP445" t="s">
        <v>74</v>
      </c>
      <c r="BQ445" t="s">
        <v>74</v>
      </c>
      <c r="BR445" t="s">
        <v>100</v>
      </c>
      <c r="BS445" t="s">
        <v>7112</v>
      </c>
      <c r="BT445" t="str">
        <f>HYPERLINK("https%3A%2F%2Fwww.webofscience.com%2Fwos%2Fwoscc%2Ffull-record%2FWOS:000238965200005","View Full Record in Web of Science")</f>
        <v>View Full Record in Web of Science</v>
      </c>
    </row>
    <row r="446" spans="1:72" x14ac:dyDescent="0.15">
      <c r="A446" t="s">
        <v>72</v>
      </c>
      <c r="B446" t="s">
        <v>7113</v>
      </c>
      <c r="C446" t="s">
        <v>74</v>
      </c>
      <c r="D446" t="s">
        <v>74</v>
      </c>
      <c r="E446" t="s">
        <v>74</v>
      </c>
      <c r="F446" t="s">
        <v>7114</v>
      </c>
      <c r="G446" t="s">
        <v>74</v>
      </c>
      <c r="H446" t="s">
        <v>74</v>
      </c>
      <c r="I446" t="s">
        <v>7115</v>
      </c>
      <c r="J446" t="s">
        <v>3269</v>
      </c>
      <c r="K446" t="s">
        <v>74</v>
      </c>
      <c r="L446" t="s">
        <v>74</v>
      </c>
      <c r="M446" t="s">
        <v>78</v>
      </c>
      <c r="N446" t="s">
        <v>79</v>
      </c>
      <c r="O446" t="s">
        <v>74</v>
      </c>
      <c r="P446" t="s">
        <v>74</v>
      </c>
      <c r="Q446" t="s">
        <v>74</v>
      </c>
      <c r="R446" t="s">
        <v>74</v>
      </c>
      <c r="S446" t="s">
        <v>74</v>
      </c>
      <c r="T446" t="s">
        <v>74</v>
      </c>
      <c r="U446" t="s">
        <v>7116</v>
      </c>
      <c r="V446" t="s">
        <v>7117</v>
      </c>
      <c r="W446" t="s">
        <v>7118</v>
      </c>
      <c r="X446" t="s">
        <v>7119</v>
      </c>
      <c r="Y446" t="s">
        <v>7120</v>
      </c>
      <c r="Z446" t="s">
        <v>7121</v>
      </c>
      <c r="AA446" t="s">
        <v>7122</v>
      </c>
      <c r="AB446" t="s">
        <v>7123</v>
      </c>
      <c r="AC446" t="s">
        <v>74</v>
      </c>
      <c r="AD446" t="s">
        <v>74</v>
      </c>
      <c r="AE446" t="s">
        <v>74</v>
      </c>
      <c r="AF446" t="s">
        <v>74</v>
      </c>
      <c r="AG446">
        <v>42</v>
      </c>
      <c r="AH446">
        <v>42</v>
      </c>
      <c r="AI446">
        <v>45</v>
      </c>
      <c r="AJ446">
        <v>0</v>
      </c>
      <c r="AK446">
        <v>16</v>
      </c>
      <c r="AL446" t="s">
        <v>115</v>
      </c>
      <c r="AM446" t="s">
        <v>116</v>
      </c>
      <c r="AN446" t="s">
        <v>117</v>
      </c>
      <c r="AO446" t="s">
        <v>3278</v>
      </c>
      <c r="AP446" t="s">
        <v>3279</v>
      </c>
      <c r="AQ446" t="s">
        <v>74</v>
      </c>
      <c r="AR446" t="s">
        <v>3280</v>
      </c>
      <c r="AS446" t="s">
        <v>3281</v>
      </c>
      <c r="AT446" t="s">
        <v>6392</v>
      </c>
      <c r="AU446">
        <v>2006</v>
      </c>
      <c r="AV446">
        <v>51</v>
      </c>
      <c r="AW446">
        <v>3</v>
      </c>
      <c r="AX446" t="s">
        <v>74</v>
      </c>
      <c r="AY446" t="s">
        <v>74</v>
      </c>
      <c r="AZ446" t="s">
        <v>74</v>
      </c>
      <c r="BA446" t="s">
        <v>74</v>
      </c>
      <c r="BB446">
        <v>1239</v>
      </c>
      <c r="BC446">
        <v>1248</v>
      </c>
      <c r="BD446" t="s">
        <v>74</v>
      </c>
      <c r="BE446" t="s">
        <v>7124</v>
      </c>
      <c r="BF446" t="str">
        <f>HYPERLINK("http://dx.doi.org/10.4319/lo.2006.51.3.1239","http://dx.doi.org/10.4319/lo.2006.51.3.1239")</f>
        <v>http://dx.doi.org/10.4319/lo.2006.51.3.1239</v>
      </c>
      <c r="BG446" t="s">
        <v>74</v>
      </c>
      <c r="BH446" t="s">
        <v>74</v>
      </c>
      <c r="BI446">
        <v>10</v>
      </c>
      <c r="BJ446" t="s">
        <v>3283</v>
      </c>
      <c r="BK446" t="s">
        <v>97</v>
      </c>
      <c r="BL446" t="s">
        <v>3284</v>
      </c>
      <c r="BM446" t="s">
        <v>7125</v>
      </c>
      <c r="BN446" t="s">
        <v>74</v>
      </c>
      <c r="BO446" t="s">
        <v>460</v>
      </c>
      <c r="BP446" t="s">
        <v>74</v>
      </c>
      <c r="BQ446" t="s">
        <v>74</v>
      </c>
      <c r="BR446" t="s">
        <v>100</v>
      </c>
      <c r="BS446" t="s">
        <v>7126</v>
      </c>
      <c r="BT446" t="str">
        <f>HYPERLINK("https%3A%2F%2Fwww.webofscience.com%2Fwos%2Fwoscc%2Ffull-record%2FWOS:000237748300003","View Full Record in Web of Science")</f>
        <v>View Full Record in Web of Science</v>
      </c>
    </row>
    <row r="447" spans="1:72" x14ac:dyDescent="0.15">
      <c r="A447" t="s">
        <v>72</v>
      </c>
      <c r="B447" t="s">
        <v>7127</v>
      </c>
      <c r="C447" t="s">
        <v>74</v>
      </c>
      <c r="D447" t="s">
        <v>74</v>
      </c>
      <c r="E447" t="s">
        <v>74</v>
      </c>
      <c r="F447" t="s">
        <v>7127</v>
      </c>
      <c r="G447" t="s">
        <v>74</v>
      </c>
      <c r="H447" t="s">
        <v>74</v>
      </c>
      <c r="I447" t="s">
        <v>7128</v>
      </c>
      <c r="J447" t="s">
        <v>3269</v>
      </c>
      <c r="K447" t="s">
        <v>74</v>
      </c>
      <c r="L447" t="s">
        <v>74</v>
      </c>
      <c r="M447" t="s">
        <v>78</v>
      </c>
      <c r="N447" t="s">
        <v>79</v>
      </c>
      <c r="O447" t="s">
        <v>74</v>
      </c>
      <c r="P447" t="s">
        <v>74</v>
      </c>
      <c r="Q447" t="s">
        <v>74</v>
      </c>
      <c r="R447" t="s">
        <v>74</v>
      </c>
      <c r="S447" t="s">
        <v>74</v>
      </c>
      <c r="T447" t="s">
        <v>74</v>
      </c>
      <c r="U447" t="s">
        <v>7129</v>
      </c>
      <c r="V447" t="s">
        <v>7130</v>
      </c>
      <c r="W447" t="s">
        <v>7131</v>
      </c>
      <c r="X447" t="s">
        <v>7132</v>
      </c>
      <c r="Y447" t="s">
        <v>7133</v>
      </c>
      <c r="Z447" t="s">
        <v>7134</v>
      </c>
      <c r="AA447" t="s">
        <v>7135</v>
      </c>
      <c r="AB447" t="s">
        <v>7136</v>
      </c>
      <c r="AC447" t="s">
        <v>74</v>
      </c>
      <c r="AD447" t="s">
        <v>74</v>
      </c>
      <c r="AE447" t="s">
        <v>74</v>
      </c>
      <c r="AF447" t="s">
        <v>74</v>
      </c>
      <c r="AG447">
        <v>72</v>
      </c>
      <c r="AH447">
        <v>78</v>
      </c>
      <c r="AI447">
        <v>86</v>
      </c>
      <c r="AJ447">
        <v>0</v>
      </c>
      <c r="AK447">
        <v>19</v>
      </c>
      <c r="AL447" t="s">
        <v>7137</v>
      </c>
      <c r="AM447" t="s">
        <v>7138</v>
      </c>
      <c r="AN447" t="s">
        <v>7139</v>
      </c>
      <c r="AO447" t="s">
        <v>3278</v>
      </c>
      <c r="AP447" t="s">
        <v>74</v>
      </c>
      <c r="AQ447" t="s">
        <v>74</v>
      </c>
      <c r="AR447" t="s">
        <v>3280</v>
      </c>
      <c r="AS447" t="s">
        <v>3281</v>
      </c>
      <c r="AT447" t="s">
        <v>6392</v>
      </c>
      <c r="AU447">
        <v>2006</v>
      </c>
      <c r="AV447">
        <v>51</v>
      </c>
      <c r="AW447">
        <v>3</v>
      </c>
      <c r="AX447" t="s">
        <v>74</v>
      </c>
      <c r="AY447" t="s">
        <v>74</v>
      </c>
      <c r="AZ447" t="s">
        <v>74</v>
      </c>
      <c r="BA447" t="s">
        <v>74</v>
      </c>
      <c r="BB447">
        <v>1369</v>
      </c>
      <c r="BC447">
        <v>1380</v>
      </c>
      <c r="BD447" t="s">
        <v>74</v>
      </c>
      <c r="BE447" t="s">
        <v>7140</v>
      </c>
      <c r="BF447" t="str">
        <f>HYPERLINK("http://dx.doi.org/10.4319/lo.2006.51.3.1369","http://dx.doi.org/10.4319/lo.2006.51.3.1369")</f>
        <v>http://dx.doi.org/10.4319/lo.2006.51.3.1369</v>
      </c>
      <c r="BG447" t="s">
        <v>74</v>
      </c>
      <c r="BH447" t="s">
        <v>74</v>
      </c>
      <c r="BI447">
        <v>12</v>
      </c>
      <c r="BJ447" t="s">
        <v>3283</v>
      </c>
      <c r="BK447" t="s">
        <v>97</v>
      </c>
      <c r="BL447" t="s">
        <v>3284</v>
      </c>
      <c r="BM447" t="s">
        <v>7125</v>
      </c>
      <c r="BN447" t="s">
        <v>74</v>
      </c>
      <c r="BO447" t="s">
        <v>460</v>
      </c>
      <c r="BP447" t="s">
        <v>74</v>
      </c>
      <c r="BQ447" t="s">
        <v>74</v>
      </c>
      <c r="BR447" t="s">
        <v>100</v>
      </c>
      <c r="BS447" t="s">
        <v>7141</v>
      </c>
      <c r="BT447" t="str">
        <f>HYPERLINK("https%3A%2F%2Fwww.webofscience.com%2Fwos%2Fwoscc%2Ffull-record%2FWOS:000237748300014","View Full Record in Web of Science")</f>
        <v>View Full Record in Web of Science</v>
      </c>
    </row>
    <row r="448" spans="1:72" x14ac:dyDescent="0.15">
      <c r="A448" t="s">
        <v>72</v>
      </c>
      <c r="B448" t="s">
        <v>7142</v>
      </c>
      <c r="C448" t="s">
        <v>74</v>
      </c>
      <c r="D448" t="s">
        <v>74</v>
      </c>
      <c r="E448" t="s">
        <v>74</v>
      </c>
      <c r="F448" t="s">
        <v>7142</v>
      </c>
      <c r="G448" t="s">
        <v>74</v>
      </c>
      <c r="H448" t="s">
        <v>74</v>
      </c>
      <c r="I448" t="s">
        <v>7143</v>
      </c>
      <c r="J448" t="s">
        <v>3290</v>
      </c>
      <c r="K448" t="s">
        <v>74</v>
      </c>
      <c r="L448" t="s">
        <v>74</v>
      </c>
      <c r="M448" t="s">
        <v>78</v>
      </c>
      <c r="N448" t="s">
        <v>79</v>
      </c>
      <c r="O448" t="s">
        <v>74</v>
      </c>
      <c r="P448" t="s">
        <v>74</v>
      </c>
      <c r="Q448" t="s">
        <v>74</v>
      </c>
      <c r="R448" t="s">
        <v>74</v>
      </c>
      <c r="S448" t="s">
        <v>74</v>
      </c>
      <c r="T448" t="s">
        <v>74</v>
      </c>
      <c r="U448" t="s">
        <v>7144</v>
      </c>
      <c r="V448" t="s">
        <v>7145</v>
      </c>
      <c r="W448" t="s">
        <v>7146</v>
      </c>
      <c r="X448" t="s">
        <v>7147</v>
      </c>
      <c r="Y448" t="s">
        <v>7148</v>
      </c>
      <c r="Z448" t="s">
        <v>7149</v>
      </c>
      <c r="AA448" t="s">
        <v>74</v>
      </c>
      <c r="AB448" t="s">
        <v>7150</v>
      </c>
      <c r="AC448" t="s">
        <v>74</v>
      </c>
      <c r="AD448" t="s">
        <v>74</v>
      </c>
      <c r="AE448" t="s">
        <v>74</v>
      </c>
      <c r="AF448" t="s">
        <v>74</v>
      </c>
      <c r="AG448">
        <v>47</v>
      </c>
      <c r="AH448">
        <v>21</v>
      </c>
      <c r="AI448">
        <v>22</v>
      </c>
      <c r="AJ448">
        <v>0</v>
      </c>
      <c r="AK448">
        <v>20</v>
      </c>
      <c r="AL448" t="s">
        <v>1009</v>
      </c>
      <c r="AM448" t="s">
        <v>1010</v>
      </c>
      <c r="AN448" t="s">
        <v>1011</v>
      </c>
      <c r="AO448" t="s">
        <v>3297</v>
      </c>
      <c r="AP448" t="s">
        <v>3298</v>
      </c>
      <c r="AQ448" t="s">
        <v>74</v>
      </c>
      <c r="AR448" t="s">
        <v>3299</v>
      </c>
      <c r="AS448" t="s">
        <v>3300</v>
      </c>
      <c r="AT448" t="s">
        <v>6392</v>
      </c>
      <c r="AU448">
        <v>2006</v>
      </c>
      <c r="AV448">
        <v>149</v>
      </c>
      <c r="AW448">
        <v>2</v>
      </c>
      <c r="AX448" t="s">
        <v>74</v>
      </c>
      <c r="AY448" t="s">
        <v>74</v>
      </c>
      <c r="AZ448" t="s">
        <v>74</v>
      </c>
      <c r="BA448" t="s">
        <v>74</v>
      </c>
      <c r="BB448">
        <v>125</v>
      </c>
      <c r="BC448">
        <v>137</v>
      </c>
      <c r="BD448" t="s">
        <v>74</v>
      </c>
      <c r="BE448" t="s">
        <v>7151</v>
      </c>
      <c r="BF448" t="str">
        <f>HYPERLINK("http://dx.doi.org/10.1007/s00227-005-0179-y","http://dx.doi.org/10.1007/s00227-005-0179-y")</f>
        <v>http://dx.doi.org/10.1007/s00227-005-0179-y</v>
      </c>
      <c r="BG448" t="s">
        <v>74</v>
      </c>
      <c r="BH448" t="s">
        <v>74</v>
      </c>
      <c r="BI448">
        <v>13</v>
      </c>
      <c r="BJ448" t="s">
        <v>1146</v>
      </c>
      <c r="BK448" t="s">
        <v>97</v>
      </c>
      <c r="BL448" t="s">
        <v>1146</v>
      </c>
      <c r="BM448" t="s">
        <v>7152</v>
      </c>
      <c r="BN448" t="s">
        <v>74</v>
      </c>
      <c r="BO448" t="s">
        <v>74</v>
      </c>
      <c r="BP448" t="s">
        <v>74</v>
      </c>
      <c r="BQ448" t="s">
        <v>74</v>
      </c>
      <c r="BR448" t="s">
        <v>100</v>
      </c>
      <c r="BS448" t="s">
        <v>7153</v>
      </c>
      <c r="BT448" t="str">
        <f>HYPERLINK("https%3A%2F%2Fwww.webofscience.com%2Fwos%2Fwoscc%2Ffull-record%2FWOS:000237190200001","View Full Record in Web of Science")</f>
        <v>View Full Record in Web of Science</v>
      </c>
    </row>
    <row r="449" spans="1:72" x14ac:dyDescent="0.15">
      <c r="A449" t="s">
        <v>72</v>
      </c>
      <c r="B449" t="s">
        <v>7154</v>
      </c>
      <c r="C449" t="s">
        <v>74</v>
      </c>
      <c r="D449" t="s">
        <v>74</v>
      </c>
      <c r="E449" t="s">
        <v>74</v>
      </c>
      <c r="F449" t="s">
        <v>7155</v>
      </c>
      <c r="G449" t="s">
        <v>74</v>
      </c>
      <c r="H449" t="s">
        <v>74</v>
      </c>
      <c r="I449" t="s">
        <v>7156</v>
      </c>
      <c r="J449" t="s">
        <v>7157</v>
      </c>
      <c r="K449" t="s">
        <v>74</v>
      </c>
      <c r="L449" t="s">
        <v>74</v>
      </c>
      <c r="M449" t="s">
        <v>78</v>
      </c>
      <c r="N449" t="s">
        <v>79</v>
      </c>
      <c r="O449" t="s">
        <v>74</v>
      </c>
      <c r="P449" t="s">
        <v>74</v>
      </c>
      <c r="Q449" t="s">
        <v>74</v>
      </c>
      <c r="R449" t="s">
        <v>74</v>
      </c>
      <c r="S449" t="s">
        <v>74</v>
      </c>
      <c r="T449" t="s">
        <v>74</v>
      </c>
      <c r="U449" t="s">
        <v>7158</v>
      </c>
      <c r="V449" t="s">
        <v>7159</v>
      </c>
      <c r="W449" t="s">
        <v>7160</v>
      </c>
      <c r="X449" t="s">
        <v>7161</v>
      </c>
      <c r="Y449" t="s">
        <v>7162</v>
      </c>
      <c r="Z449" t="s">
        <v>7163</v>
      </c>
      <c r="AA449" t="s">
        <v>7164</v>
      </c>
      <c r="AB449" t="s">
        <v>7165</v>
      </c>
      <c r="AC449" t="s">
        <v>74</v>
      </c>
      <c r="AD449" t="s">
        <v>74</v>
      </c>
      <c r="AE449" t="s">
        <v>74</v>
      </c>
      <c r="AF449" t="s">
        <v>74</v>
      </c>
      <c r="AG449">
        <v>54</v>
      </c>
      <c r="AH449">
        <v>161</v>
      </c>
      <c r="AI449">
        <v>183</v>
      </c>
      <c r="AJ449">
        <v>0</v>
      </c>
      <c r="AK449">
        <v>58</v>
      </c>
      <c r="AL449" t="s">
        <v>994</v>
      </c>
      <c r="AM449" t="s">
        <v>476</v>
      </c>
      <c r="AN449" t="s">
        <v>1519</v>
      </c>
      <c r="AO449" t="s">
        <v>7166</v>
      </c>
      <c r="AP449" t="s">
        <v>7167</v>
      </c>
      <c r="AQ449" t="s">
        <v>74</v>
      </c>
      <c r="AR449" t="s">
        <v>7168</v>
      </c>
      <c r="AS449" t="s">
        <v>7169</v>
      </c>
      <c r="AT449" t="s">
        <v>6392</v>
      </c>
      <c r="AU449">
        <v>2006</v>
      </c>
      <c r="AV449">
        <v>51</v>
      </c>
      <c r="AW449">
        <v>4</v>
      </c>
      <c r="AX449" t="s">
        <v>74</v>
      </c>
      <c r="AY449" t="s">
        <v>74</v>
      </c>
      <c r="AZ449" t="s">
        <v>74</v>
      </c>
      <c r="BA449" t="s">
        <v>74</v>
      </c>
      <c r="BB449">
        <v>413</v>
      </c>
      <c r="BC449">
        <v>421</v>
      </c>
      <c r="BD449" t="s">
        <v>74</v>
      </c>
      <c r="BE449" t="s">
        <v>7170</v>
      </c>
      <c r="BF449" t="str">
        <f>HYPERLINK("http://dx.doi.org/10.1007/s00248-006-9022-3","http://dx.doi.org/10.1007/s00248-006-9022-3")</f>
        <v>http://dx.doi.org/10.1007/s00248-006-9022-3</v>
      </c>
      <c r="BG449" t="s">
        <v>74</v>
      </c>
      <c r="BH449" t="s">
        <v>74</v>
      </c>
      <c r="BI449">
        <v>9</v>
      </c>
      <c r="BJ449" t="s">
        <v>2081</v>
      </c>
      <c r="BK449" t="s">
        <v>97</v>
      </c>
      <c r="BL449" t="s">
        <v>2082</v>
      </c>
      <c r="BM449" t="s">
        <v>7171</v>
      </c>
      <c r="BN449">
        <v>16596438</v>
      </c>
      <c r="BO449" t="s">
        <v>74</v>
      </c>
      <c r="BP449" t="s">
        <v>74</v>
      </c>
      <c r="BQ449" t="s">
        <v>74</v>
      </c>
      <c r="BR449" t="s">
        <v>100</v>
      </c>
      <c r="BS449" t="s">
        <v>7172</v>
      </c>
      <c r="BT449" t="str">
        <f>HYPERLINK("https%3A%2F%2Fwww.webofscience.com%2Fwos%2Fwoscc%2Ffull-record%2FWOS:000238520800001","View Full Record in Web of Science")</f>
        <v>View Full Record in Web of Science</v>
      </c>
    </row>
    <row r="450" spans="1:72" x14ac:dyDescent="0.15">
      <c r="A450" t="s">
        <v>72</v>
      </c>
      <c r="B450" t="s">
        <v>7173</v>
      </c>
      <c r="C450" t="s">
        <v>74</v>
      </c>
      <c r="D450" t="s">
        <v>74</v>
      </c>
      <c r="E450" t="s">
        <v>74</v>
      </c>
      <c r="F450" t="s">
        <v>7173</v>
      </c>
      <c r="G450" t="s">
        <v>74</v>
      </c>
      <c r="H450" t="s">
        <v>74</v>
      </c>
      <c r="I450" t="s">
        <v>7174</v>
      </c>
      <c r="J450" t="s">
        <v>7175</v>
      </c>
      <c r="K450" t="s">
        <v>74</v>
      </c>
      <c r="L450" t="s">
        <v>74</v>
      </c>
      <c r="M450" t="s">
        <v>78</v>
      </c>
      <c r="N450" t="s">
        <v>1226</v>
      </c>
      <c r="O450" t="s">
        <v>7176</v>
      </c>
      <c r="P450" t="s">
        <v>7177</v>
      </c>
      <c r="Q450" t="s">
        <v>7178</v>
      </c>
      <c r="R450" t="s">
        <v>74</v>
      </c>
      <c r="S450" t="s">
        <v>74</v>
      </c>
      <c r="T450" t="s">
        <v>7179</v>
      </c>
      <c r="U450" t="s">
        <v>7180</v>
      </c>
      <c r="V450" t="s">
        <v>7181</v>
      </c>
      <c r="W450" t="s">
        <v>7182</v>
      </c>
      <c r="X450" t="s">
        <v>7183</v>
      </c>
      <c r="Y450" t="s">
        <v>7184</v>
      </c>
      <c r="Z450" t="s">
        <v>7185</v>
      </c>
      <c r="AA450" t="s">
        <v>7186</v>
      </c>
      <c r="AB450" t="s">
        <v>7187</v>
      </c>
      <c r="AC450" t="s">
        <v>74</v>
      </c>
      <c r="AD450" t="s">
        <v>74</v>
      </c>
      <c r="AE450" t="s">
        <v>74</v>
      </c>
      <c r="AF450" t="s">
        <v>74</v>
      </c>
      <c r="AG450">
        <v>57</v>
      </c>
      <c r="AH450">
        <v>126</v>
      </c>
      <c r="AI450">
        <v>134</v>
      </c>
      <c r="AJ450">
        <v>0</v>
      </c>
      <c r="AK450">
        <v>24</v>
      </c>
      <c r="AL450" t="s">
        <v>580</v>
      </c>
      <c r="AM450" t="s">
        <v>388</v>
      </c>
      <c r="AN450" t="s">
        <v>581</v>
      </c>
      <c r="AO450" t="s">
        <v>7188</v>
      </c>
      <c r="AP450" t="s">
        <v>7189</v>
      </c>
      <c r="AQ450" t="s">
        <v>74</v>
      </c>
      <c r="AR450" t="s">
        <v>7190</v>
      </c>
      <c r="AS450" t="s">
        <v>7191</v>
      </c>
      <c r="AT450" t="s">
        <v>6392</v>
      </c>
      <c r="AU450">
        <v>2006</v>
      </c>
      <c r="AV450">
        <v>23</v>
      </c>
      <c r="AW450">
        <v>5</v>
      </c>
      <c r="AX450" t="s">
        <v>74</v>
      </c>
      <c r="AY450" t="s">
        <v>74</v>
      </c>
      <c r="AZ450" t="s">
        <v>74</v>
      </c>
      <c r="BA450" t="s">
        <v>74</v>
      </c>
      <c r="BB450">
        <v>874</v>
      </c>
      <c r="BC450">
        <v>882</v>
      </c>
      <c r="BD450" t="s">
        <v>74</v>
      </c>
      <c r="BE450" t="s">
        <v>7192</v>
      </c>
      <c r="BF450" t="str">
        <f>HYPERLINK("http://dx.doi.org/10.1093/molbev/msj073","http://dx.doi.org/10.1093/molbev/msj073")</f>
        <v>http://dx.doi.org/10.1093/molbev/msj073</v>
      </c>
      <c r="BG450" t="s">
        <v>74</v>
      </c>
      <c r="BH450" t="s">
        <v>74</v>
      </c>
      <c r="BI450">
        <v>9</v>
      </c>
      <c r="BJ450" t="s">
        <v>7193</v>
      </c>
      <c r="BK450" t="s">
        <v>668</v>
      </c>
      <c r="BL450" t="s">
        <v>7193</v>
      </c>
      <c r="BM450" t="s">
        <v>7194</v>
      </c>
      <c r="BN450">
        <v>16326749</v>
      </c>
      <c r="BO450" t="s">
        <v>460</v>
      </c>
      <c r="BP450" t="s">
        <v>74</v>
      </c>
      <c r="BQ450" t="s">
        <v>74</v>
      </c>
      <c r="BR450" t="s">
        <v>100</v>
      </c>
      <c r="BS450" t="s">
        <v>7195</v>
      </c>
      <c r="BT450" t="str">
        <f>HYPERLINK("https%3A%2F%2Fwww.webofscience.com%2Fwos%2Fwoscc%2Ffull-record%2FWOS:000237320800005","View Full Record in Web of Science")</f>
        <v>View Full Record in Web of Science</v>
      </c>
    </row>
    <row r="451" spans="1:72" x14ac:dyDescent="0.15">
      <c r="A451" t="s">
        <v>72</v>
      </c>
      <c r="B451" t="s">
        <v>7196</v>
      </c>
      <c r="C451" t="s">
        <v>74</v>
      </c>
      <c r="D451" t="s">
        <v>74</v>
      </c>
      <c r="E451" t="s">
        <v>74</v>
      </c>
      <c r="F451" t="s">
        <v>7196</v>
      </c>
      <c r="G451" t="s">
        <v>74</v>
      </c>
      <c r="H451" t="s">
        <v>74</v>
      </c>
      <c r="I451" t="s">
        <v>7197</v>
      </c>
      <c r="J451" t="s">
        <v>7198</v>
      </c>
      <c r="K451" t="s">
        <v>74</v>
      </c>
      <c r="L451" t="s">
        <v>74</v>
      </c>
      <c r="M451" t="s">
        <v>78</v>
      </c>
      <c r="N451" t="s">
        <v>511</v>
      </c>
      <c r="O451" t="s">
        <v>74</v>
      </c>
      <c r="P451" t="s">
        <v>74</v>
      </c>
      <c r="Q451" t="s">
        <v>74</v>
      </c>
      <c r="R451" t="s">
        <v>74</v>
      </c>
      <c r="S451" t="s">
        <v>74</v>
      </c>
      <c r="T451" t="s">
        <v>74</v>
      </c>
      <c r="U451" t="s">
        <v>7199</v>
      </c>
      <c r="V451" t="s">
        <v>7200</v>
      </c>
      <c r="W451" t="s">
        <v>7201</v>
      </c>
      <c r="X451" t="s">
        <v>7202</v>
      </c>
      <c r="Y451" t="s">
        <v>7203</v>
      </c>
      <c r="Z451" t="s">
        <v>7204</v>
      </c>
      <c r="AA451" t="s">
        <v>7205</v>
      </c>
      <c r="AB451" t="s">
        <v>7206</v>
      </c>
      <c r="AC451" t="s">
        <v>74</v>
      </c>
      <c r="AD451" t="s">
        <v>74</v>
      </c>
      <c r="AE451" t="s">
        <v>74</v>
      </c>
      <c r="AF451" t="s">
        <v>74</v>
      </c>
      <c r="AG451">
        <v>118</v>
      </c>
      <c r="AH451">
        <v>241</v>
      </c>
      <c r="AI451">
        <v>292</v>
      </c>
      <c r="AJ451">
        <v>4</v>
      </c>
      <c r="AK451">
        <v>135</v>
      </c>
      <c r="AL451" t="s">
        <v>556</v>
      </c>
      <c r="AM451" t="s">
        <v>557</v>
      </c>
      <c r="AN451" t="s">
        <v>558</v>
      </c>
      <c r="AO451" t="s">
        <v>7207</v>
      </c>
      <c r="AP451" t="s">
        <v>7208</v>
      </c>
      <c r="AQ451" t="s">
        <v>74</v>
      </c>
      <c r="AR451" t="s">
        <v>7209</v>
      </c>
      <c r="AS451" t="s">
        <v>7210</v>
      </c>
      <c r="AT451" t="s">
        <v>6392</v>
      </c>
      <c r="AU451">
        <v>2006</v>
      </c>
      <c r="AV451">
        <v>4</v>
      </c>
      <c r="AW451">
        <v>5</v>
      </c>
      <c r="AX451" t="s">
        <v>74</v>
      </c>
      <c r="AY451" t="s">
        <v>74</v>
      </c>
      <c r="AZ451" t="s">
        <v>74</v>
      </c>
      <c r="BA451" t="s">
        <v>74</v>
      </c>
      <c r="BB451">
        <v>331</v>
      </c>
      <c r="BC451">
        <v>343</v>
      </c>
      <c r="BD451" t="s">
        <v>74</v>
      </c>
      <c r="BE451" t="s">
        <v>7211</v>
      </c>
      <c r="BF451" t="str">
        <f>HYPERLINK("http://dx.doi.org/10.1038/nrmicro1390","http://dx.doi.org/10.1038/nrmicro1390")</f>
        <v>http://dx.doi.org/10.1038/nrmicro1390</v>
      </c>
      <c r="BG451" t="s">
        <v>74</v>
      </c>
      <c r="BH451" t="s">
        <v>74</v>
      </c>
      <c r="BI451">
        <v>13</v>
      </c>
      <c r="BJ451" t="s">
        <v>587</v>
      </c>
      <c r="BK451" t="s">
        <v>97</v>
      </c>
      <c r="BL451" t="s">
        <v>587</v>
      </c>
      <c r="BM451" t="s">
        <v>7212</v>
      </c>
      <c r="BN451">
        <v>16715049</v>
      </c>
      <c r="BO451" t="s">
        <v>74</v>
      </c>
      <c r="BP451" t="s">
        <v>74</v>
      </c>
      <c r="BQ451" t="s">
        <v>74</v>
      </c>
      <c r="BR451" t="s">
        <v>100</v>
      </c>
      <c r="BS451" t="s">
        <v>7213</v>
      </c>
      <c r="BT451" t="str">
        <f>HYPERLINK("https%3A%2F%2Fwww.webofscience.com%2Fwos%2Fwoscc%2Ffull-record%2FWOS:000236764400010","View Full Record in Web of Science")</f>
        <v>View Full Record in Web of Science</v>
      </c>
    </row>
    <row r="452" spans="1:72" x14ac:dyDescent="0.15">
      <c r="A452" t="s">
        <v>72</v>
      </c>
      <c r="B452" t="s">
        <v>590</v>
      </c>
      <c r="C452" t="s">
        <v>74</v>
      </c>
      <c r="D452" t="s">
        <v>74</v>
      </c>
      <c r="E452" t="s">
        <v>74</v>
      </c>
      <c r="F452" t="s">
        <v>591</v>
      </c>
      <c r="G452" t="s">
        <v>74</v>
      </c>
      <c r="H452" t="s">
        <v>74</v>
      </c>
      <c r="I452" t="s">
        <v>7214</v>
      </c>
      <c r="J452" t="s">
        <v>3406</v>
      </c>
      <c r="K452" t="s">
        <v>74</v>
      </c>
      <c r="L452" t="s">
        <v>74</v>
      </c>
      <c r="M452" t="s">
        <v>78</v>
      </c>
      <c r="N452" t="s">
        <v>79</v>
      </c>
      <c r="O452" t="s">
        <v>74</v>
      </c>
      <c r="P452" t="s">
        <v>74</v>
      </c>
      <c r="Q452" t="s">
        <v>74</v>
      </c>
      <c r="R452" t="s">
        <v>74</v>
      </c>
      <c r="S452" t="s">
        <v>74</v>
      </c>
      <c r="T452" t="s">
        <v>74</v>
      </c>
      <c r="U452" t="s">
        <v>7215</v>
      </c>
      <c r="V452" t="s">
        <v>7216</v>
      </c>
      <c r="W452" t="s">
        <v>3409</v>
      </c>
      <c r="X452" t="s">
        <v>597</v>
      </c>
      <c r="Y452" t="s">
        <v>7217</v>
      </c>
      <c r="Z452" t="s">
        <v>599</v>
      </c>
      <c r="AA452" t="s">
        <v>600</v>
      </c>
      <c r="AB452" t="s">
        <v>74</v>
      </c>
      <c r="AC452" t="s">
        <v>74</v>
      </c>
      <c r="AD452" t="s">
        <v>74</v>
      </c>
      <c r="AE452" t="s">
        <v>74</v>
      </c>
      <c r="AF452" t="s">
        <v>74</v>
      </c>
      <c r="AG452">
        <v>19</v>
      </c>
      <c r="AH452">
        <v>5</v>
      </c>
      <c r="AI452">
        <v>5</v>
      </c>
      <c r="AJ452">
        <v>0</v>
      </c>
      <c r="AK452">
        <v>0</v>
      </c>
      <c r="AL452" t="s">
        <v>601</v>
      </c>
      <c r="AM452" t="s">
        <v>476</v>
      </c>
      <c r="AN452" t="s">
        <v>602</v>
      </c>
      <c r="AO452" t="s">
        <v>3411</v>
      </c>
      <c r="AP452" t="s">
        <v>7218</v>
      </c>
      <c r="AQ452" t="s">
        <v>74</v>
      </c>
      <c r="AR452" t="s">
        <v>3412</v>
      </c>
      <c r="AS452" t="s">
        <v>3413</v>
      </c>
      <c r="AT452" t="s">
        <v>6392</v>
      </c>
      <c r="AU452">
        <v>2006</v>
      </c>
      <c r="AV452">
        <v>46</v>
      </c>
      <c r="AW452">
        <v>3</v>
      </c>
      <c r="AX452" t="s">
        <v>74</v>
      </c>
      <c r="AY452" t="s">
        <v>74</v>
      </c>
      <c r="AZ452" t="s">
        <v>74</v>
      </c>
      <c r="BA452" t="s">
        <v>74</v>
      </c>
      <c r="BB452">
        <v>348</v>
      </c>
      <c r="BC452">
        <v>357</v>
      </c>
      <c r="BD452" t="s">
        <v>74</v>
      </c>
      <c r="BE452" t="s">
        <v>7219</v>
      </c>
      <c r="BF452" t="str">
        <f>HYPERLINK("http://dx.doi.org/10.1134/S0001437006030064","http://dx.doi.org/10.1134/S0001437006030064")</f>
        <v>http://dx.doi.org/10.1134/S0001437006030064</v>
      </c>
      <c r="BG452" t="s">
        <v>74</v>
      </c>
      <c r="BH452" t="s">
        <v>74</v>
      </c>
      <c r="BI452">
        <v>10</v>
      </c>
      <c r="BJ452" t="s">
        <v>1069</v>
      </c>
      <c r="BK452" t="s">
        <v>97</v>
      </c>
      <c r="BL452" t="s">
        <v>1069</v>
      </c>
      <c r="BM452" t="s">
        <v>7220</v>
      </c>
      <c r="BN452" t="s">
        <v>74</v>
      </c>
      <c r="BO452" t="s">
        <v>74</v>
      </c>
      <c r="BP452" t="s">
        <v>74</v>
      </c>
      <c r="BQ452" t="s">
        <v>74</v>
      </c>
      <c r="BR452" t="s">
        <v>100</v>
      </c>
      <c r="BS452" t="s">
        <v>7221</v>
      </c>
      <c r="BT452" t="str">
        <f>HYPERLINK("https%3A%2F%2Fwww.webofscience.com%2Fwos%2Fwoscc%2Ffull-record%2FWOS:000245652100006","View Full Record in Web of Science")</f>
        <v>View Full Record in Web of Science</v>
      </c>
    </row>
    <row r="453" spans="1:72" x14ac:dyDescent="0.15">
      <c r="A453" t="s">
        <v>72</v>
      </c>
      <c r="B453" t="s">
        <v>7222</v>
      </c>
      <c r="C453" t="s">
        <v>74</v>
      </c>
      <c r="D453" t="s">
        <v>74</v>
      </c>
      <c r="E453" t="s">
        <v>74</v>
      </c>
      <c r="F453" t="s">
        <v>7223</v>
      </c>
      <c r="G453" t="s">
        <v>74</v>
      </c>
      <c r="H453" t="s">
        <v>74</v>
      </c>
      <c r="I453" t="s">
        <v>7224</v>
      </c>
      <c r="J453" t="s">
        <v>3406</v>
      </c>
      <c r="K453" t="s">
        <v>74</v>
      </c>
      <c r="L453" t="s">
        <v>74</v>
      </c>
      <c r="M453" t="s">
        <v>78</v>
      </c>
      <c r="N453" t="s">
        <v>79</v>
      </c>
      <c r="O453" t="s">
        <v>74</v>
      </c>
      <c r="P453" t="s">
        <v>74</v>
      </c>
      <c r="Q453" t="s">
        <v>74</v>
      </c>
      <c r="R453" t="s">
        <v>74</v>
      </c>
      <c r="S453" t="s">
        <v>74</v>
      </c>
      <c r="T453" t="s">
        <v>74</v>
      </c>
      <c r="U453" t="s">
        <v>7225</v>
      </c>
      <c r="V453" t="s">
        <v>7226</v>
      </c>
      <c r="W453" t="s">
        <v>3409</v>
      </c>
      <c r="X453" t="s">
        <v>597</v>
      </c>
      <c r="Y453" t="s">
        <v>7227</v>
      </c>
      <c r="Z453" t="s">
        <v>74</v>
      </c>
      <c r="AA453" t="s">
        <v>74</v>
      </c>
      <c r="AB453" t="s">
        <v>74</v>
      </c>
      <c r="AC453" t="s">
        <v>74</v>
      </c>
      <c r="AD453" t="s">
        <v>74</v>
      </c>
      <c r="AE453" t="s">
        <v>74</v>
      </c>
      <c r="AF453" t="s">
        <v>74</v>
      </c>
      <c r="AG453">
        <v>35</v>
      </c>
      <c r="AH453">
        <v>4</v>
      </c>
      <c r="AI453">
        <v>4</v>
      </c>
      <c r="AJ453">
        <v>0</v>
      </c>
      <c r="AK453">
        <v>1</v>
      </c>
      <c r="AL453" t="s">
        <v>601</v>
      </c>
      <c r="AM453" t="s">
        <v>476</v>
      </c>
      <c r="AN453" t="s">
        <v>602</v>
      </c>
      <c r="AO453" t="s">
        <v>3411</v>
      </c>
      <c r="AP453" t="s">
        <v>74</v>
      </c>
      <c r="AQ453" t="s">
        <v>74</v>
      </c>
      <c r="AR453" t="s">
        <v>3412</v>
      </c>
      <c r="AS453" t="s">
        <v>3413</v>
      </c>
      <c r="AT453" t="s">
        <v>6392</v>
      </c>
      <c r="AU453">
        <v>2006</v>
      </c>
      <c r="AV453">
        <v>46</v>
      </c>
      <c r="AW453">
        <v>3</v>
      </c>
      <c r="AX453" t="s">
        <v>74</v>
      </c>
      <c r="AY453" t="s">
        <v>74</v>
      </c>
      <c r="AZ453" t="s">
        <v>74</v>
      </c>
      <c r="BA453" t="s">
        <v>74</v>
      </c>
      <c r="BB453">
        <v>396</v>
      </c>
      <c r="BC453">
        <v>400</v>
      </c>
      <c r="BD453" t="s">
        <v>74</v>
      </c>
      <c r="BE453" t="s">
        <v>7228</v>
      </c>
      <c r="BF453" t="str">
        <f>HYPERLINK("http://dx.doi.org/10.1134/S0001437006030118","http://dx.doi.org/10.1134/S0001437006030118")</f>
        <v>http://dx.doi.org/10.1134/S0001437006030118</v>
      </c>
      <c r="BG453" t="s">
        <v>74</v>
      </c>
      <c r="BH453" t="s">
        <v>74</v>
      </c>
      <c r="BI453">
        <v>5</v>
      </c>
      <c r="BJ453" t="s">
        <v>1069</v>
      </c>
      <c r="BK453" t="s">
        <v>97</v>
      </c>
      <c r="BL453" t="s">
        <v>1069</v>
      </c>
      <c r="BM453" t="s">
        <v>7220</v>
      </c>
      <c r="BN453" t="s">
        <v>74</v>
      </c>
      <c r="BO453" t="s">
        <v>74</v>
      </c>
      <c r="BP453" t="s">
        <v>74</v>
      </c>
      <c r="BQ453" t="s">
        <v>74</v>
      </c>
      <c r="BR453" t="s">
        <v>100</v>
      </c>
      <c r="BS453" t="s">
        <v>7229</v>
      </c>
      <c r="BT453" t="str">
        <f>HYPERLINK("https%3A%2F%2Fwww.webofscience.com%2Fwos%2Fwoscc%2Ffull-record%2FWOS:000245652100011","View Full Record in Web of Science")</f>
        <v>View Full Record in Web of Science</v>
      </c>
    </row>
    <row r="454" spans="1:72" x14ac:dyDescent="0.15">
      <c r="A454" t="s">
        <v>72</v>
      </c>
      <c r="B454" t="s">
        <v>7230</v>
      </c>
      <c r="C454" t="s">
        <v>74</v>
      </c>
      <c r="D454" t="s">
        <v>74</v>
      </c>
      <c r="E454" t="s">
        <v>74</v>
      </c>
      <c r="F454" t="s">
        <v>7231</v>
      </c>
      <c r="G454" t="s">
        <v>74</v>
      </c>
      <c r="H454" t="s">
        <v>74</v>
      </c>
      <c r="I454" t="s">
        <v>7232</v>
      </c>
      <c r="J454" t="s">
        <v>7233</v>
      </c>
      <c r="K454" t="s">
        <v>74</v>
      </c>
      <c r="L454" t="s">
        <v>74</v>
      </c>
      <c r="M454" t="s">
        <v>78</v>
      </c>
      <c r="N454" t="s">
        <v>552</v>
      </c>
      <c r="O454" t="s">
        <v>74</v>
      </c>
      <c r="P454" t="s">
        <v>74</v>
      </c>
      <c r="Q454" t="s">
        <v>74</v>
      </c>
      <c r="R454" t="s">
        <v>74</v>
      </c>
      <c r="S454" t="s">
        <v>74</v>
      </c>
      <c r="T454" t="s">
        <v>7234</v>
      </c>
      <c r="U454" t="s">
        <v>7235</v>
      </c>
      <c r="V454" t="s">
        <v>7236</v>
      </c>
      <c r="W454" t="s">
        <v>7237</v>
      </c>
      <c r="X454" t="s">
        <v>7238</v>
      </c>
      <c r="Y454" t="s">
        <v>7239</v>
      </c>
      <c r="Z454" t="s">
        <v>7240</v>
      </c>
      <c r="AA454" t="s">
        <v>7241</v>
      </c>
      <c r="AB454" t="s">
        <v>7242</v>
      </c>
      <c r="AC454" t="s">
        <v>74</v>
      </c>
      <c r="AD454" t="s">
        <v>74</v>
      </c>
      <c r="AE454" t="s">
        <v>74</v>
      </c>
      <c r="AF454" t="s">
        <v>74</v>
      </c>
      <c r="AG454">
        <v>57</v>
      </c>
      <c r="AH454">
        <v>47</v>
      </c>
      <c r="AI454">
        <v>50</v>
      </c>
      <c r="AJ454">
        <v>0</v>
      </c>
      <c r="AK454">
        <v>8</v>
      </c>
      <c r="AL454" t="s">
        <v>136</v>
      </c>
      <c r="AM454" t="s">
        <v>137</v>
      </c>
      <c r="AN454" t="s">
        <v>138</v>
      </c>
      <c r="AO454" t="s">
        <v>7243</v>
      </c>
      <c r="AP454" t="s">
        <v>7244</v>
      </c>
      <c r="AQ454" t="s">
        <v>74</v>
      </c>
      <c r="AR454" t="s">
        <v>7233</v>
      </c>
      <c r="AS454" t="s">
        <v>7245</v>
      </c>
      <c r="AT454" t="s">
        <v>6392</v>
      </c>
      <c r="AU454">
        <v>2006</v>
      </c>
      <c r="AV454">
        <v>45</v>
      </c>
      <c r="AW454">
        <v>3</v>
      </c>
      <c r="AX454" t="s">
        <v>74</v>
      </c>
      <c r="AY454" t="s">
        <v>74</v>
      </c>
      <c r="AZ454" t="s">
        <v>74</v>
      </c>
      <c r="BA454" t="s">
        <v>74</v>
      </c>
      <c r="BB454">
        <v>249</v>
      </c>
      <c r="BC454">
        <v>259</v>
      </c>
      <c r="BD454" t="s">
        <v>74</v>
      </c>
      <c r="BE454" t="s">
        <v>7246</v>
      </c>
      <c r="BF454" t="str">
        <f>HYPERLINK("http://dx.doi.org/10.2216/05-26.1","http://dx.doi.org/10.2216/05-26.1")</f>
        <v>http://dx.doi.org/10.2216/05-26.1</v>
      </c>
      <c r="BG454" t="s">
        <v>74</v>
      </c>
      <c r="BH454" t="s">
        <v>74</v>
      </c>
      <c r="BI454">
        <v>11</v>
      </c>
      <c r="BJ454" t="s">
        <v>504</v>
      </c>
      <c r="BK454" t="s">
        <v>97</v>
      </c>
      <c r="BL454" t="s">
        <v>504</v>
      </c>
      <c r="BM454" t="s">
        <v>7247</v>
      </c>
      <c r="BN454" t="s">
        <v>74</v>
      </c>
      <c r="BO454" t="s">
        <v>74</v>
      </c>
      <c r="BP454" t="s">
        <v>74</v>
      </c>
      <c r="BQ454" t="s">
        <v>74</v>
      </c>
      <c r="BR454" t="s">
        <v>100</v>
      </c>
      <c r="BS454" t="s">
        <v>7248</v>
      </c>
      <c r="BT454" t="str">
        <f>HYPERLINK("https%3A%2F%2Fwww.webofscience.com%2Fwos%2Fwoscc%2Ffull-record%2FWOS:000237323300003","View Full Record in Web of Science")</f>
        <v>View Full Record in Web of Science</v>
      </c>
    </row>
    <row r="455" spans="1:72" x14ac:dyDescent="0.15">
      <c r="A455" t="s">
        <v>72</v>
      </c>
      <c r="B455" t="s">
        <v>7249</v>
      </c>
      <c r="C455" t="s">
        <v>74</v>
      </c>
      <c r="D455" t="s">
        <v>74</v>
      </c>
      <c r="E455" t="s">
        <v>74</v>
      </c>
      <c r="F455" t="s">
        <v>7250</v>
      </c>
      <c r="G455" t="s">
        <v>74</v>
      </c>
      <c r="H455" t="s">
        <v>74</v>
      </c>
      <c r="I455" t="s">
        <v>7251</v>
      </c>
      <c r="J455" t="s">
        <v>1511</v>
      </c>
      <c r="K455" t="s">
        <v>74</v>
      </c>
      <c r="L455" t="s">
        <v>74</v>
      </c>
      <c r="M455" t="s">
        <v>78</v>
      </c>
      <c r="N455" t="s">
        <v>79</v>
      </c>
      <c r="O455" t="s">
        <v>74</v>
      </c>
      <c r="P455" t="s">
        <v>74</v>
      </c>
      <c r="Q455" t="s">
        <v>74</v>
      </c>
      <c r="R455" t="s">
        <v>74</v>
      </c>
      <c r="S455" t="s">
        <v>74</v>
      </c>
      <c r="T455" t="s">
        <v>74</v>
      </c>
      <c r="U455" t="s">
        <v>7252</v>
      </c>
      <c r="V455" t="s">
        <v>7253</v>
      </c>
      <c r="W455" t="s">
        <v>7254</v>
      </c>
      <c r="X455" t="s">
        <v>1018</v>
      </c>
      <c r="Y455" t="s">
        <v>7255</v>
      </c>
      <c r="Z455" t="s">
        <v>7256</v>
      </c>
      <c r="AA455" t="s">
        <v>4568</v>
      </c>
      <c r="AB455" t="s">
        <v>4569</v>
      </c>
      <c r="AC455" t="s">
        <v>74</v>
      </c>
      <c r="AD455" t="s">
        <v>74</v>
      </c>
      <c r="AE455" t="s">
        <v>74</v>
      </c>
      <c r="AF455" t="s">
        <v>74</v>
      </c>
      <c r="AG455">
        <v>56</v>
      </c>
      <c r="AH455">
        <v>26</v>
      </c>
      <c r="AI455">
        <v>27</v>
      </c>
      <c r="AJ455">
        <v>0</v>
      </c>
      <c r="AK455">
        <v>20</v>
      </c>
      <c r="AL455" t="s">
        <v>994</v>
      </c>
      <c r="AM455" t="s">
        <v>476</v>
      </c>
      <c r="AN455" t="s">
        <v>1551</v>
      </c>
      <c r="AO455" t="s">
        <v>1520</v>
      </c>
      <c r="AP455" t="s">
        <v>1521</v>
      </c>
      <c r="AQ455" t="s">
        <v>74</v>
      </c>
      <c r="AR455" t="s">
        <v>1522</v>
      </c>
      <c r="AS455" t="s">
        <v>1523</v>
      </c>
      <c r="AT455" t="s">
        <v>6392</v>
      </c>
      <c r="AU455">
        <v>2006</v>
      </c>
      <c r="AV455">
        <v>29</v>
      </c>
      <c r="AW455">
        <v>6</v>
      </c>
      <c r="AX455" t="s">
        <v>74</v>
      </c>
      <c r="AY455" t="s">
        <v>74</v>
      </c>
      <c r="AZ455" t="s">
        <v>74</v>
      </c>
      <c r="BA455" t="s">
        <v>74</v>
      </c>
      <c r="BB455">
        <v>445</v>
      </c>
      <c r="BC455">
        <v>453</v>
      </c>
      <c r="BD455" t="s">
        <v>74</v>
      </c>
      <c r="BE455" t="s">
        <v>7257</v>
      </c>
      <c r="BF455" t="str">
        <f>HYPERLINK("http://dx.doi.org/10.1007/s00300-005-0075-4","http://dx.doi.org/10.1007/s00300-005-0075-4")</f>
        <v>http://dx.doi.org/10.1007/s00300-005-0075-4</v>
      </c>
      <c r="BG455" t="s">
        <v>74</v>
      </c>
      <c r="BH455" t="s">
        <v>74</v>
      </c>
      <c r="BI455">
        <v>9</v>
      </c>
      <c r="BJ455" t="s">
        <v>1525</v>
      </c>
      <c r="BK455" t="s">
        <v>97</v>
      </c>
      <c r="BL455" t="s">
        <v>1526</v>
      </c>
      <c r="BM455" t="s">
        <v>7258</v>
      </c>
      <c r="BN455" t="s">
        <v>74</v>
      </c>
      <c r="BO455" t="s">
        <v>74</v>
      </c>
      <c r="BP455" t="s">
        <v>74</v>
      </c>
      <c r="BQ455" t="s">
        <v>74</v>
      </c>
      <c r="BR455" t="s">
        <v>100</v>
      </c>
      <c r="BS455" t="s">
        <v>7259</v>
      </c>
      <c r="BT455" t="str">
        <f>HYPERLINK("https%3A%2F%2Fwww.webofscience.com%2Fwos%2Fwoscc%2Ffull-record%2FWOS:000238425400001","View Full Record in Web of Science")</f>
        <v>View Full Record in Web of Science</v>
      </c>
    </row>
    <row r="456" spans="1:72" x14ac:dyDescent="0.15">
      <c r="A456" t="s">
        <v>72</v>
      </c>
      <c r="B456" t="s">
        <v>7260</v>
      </c>
      <c r="C456" t="s">
        <v>74</v>
      </c>
      <c r="D456" t="s">
        <v>74</v>
      </c>
      <c r="E456" t="s">
        <v>74</v>
      </c>
      <c r="F456" t="s">
        <v>7261</v>
      </c>
      <c r="G456" t="s">
        <v>74</v>
      </c>
      <c r="H456" t="s">
        <v>74</v>
      </c>
      <c r="I456" t="s">
        <v>7262</v>
      </c>
      <c r="J456" t="s">
        <v>1511</v>
      </c>
      <c r="K456" t="s">
        <v>74</v>
      </c>
      <c r="L456" t="s">
        <v>74</v>
      </c>
      <c r="M456" t="s">
        <v>78</v>
      </c>
      <c r="N456" t="s">
        <v>79</v>
      </c>
      <c r="O456" t="s">
        <v>74</v>
      </c>
      <c r="P456" t="s">
        <v>74</v>
      </c>
      <c r="Q456" t="s">
        <v>74</v>
      </c>
      <c r="R456" t="s">
        <v>74</v>
      </c>
      <c r="S456" t="s">
        <v>74</v>
      </c>
      <c r="T456" t="s">
        <v>74</v>
      </c>
      <c r="U456" t="s">
        <v>7263</v>
      </c>
      <c r="V456" t="s">
        <v>7264</v>
      </c>
      <c r="W456" t="s">
        <v>7265</v>
      </c>
      <c r="X456" t="s">
        <v>1272</v>
      </c>
      <c r="Y456" t="s">
        <v>7266</v>
      </c>
      <c r="Z456" t="s">
        <v>7267</v>
      </c>
      <c r="AA456" t="s">
        <v>7268</v>
      </c>
      <c r="AB456" t="s">
        <v>7269</v>
      </c>
      <c r="AC456" t="s">
        <v>74</v>
      </c>
      <c r="AD456" t="s">
        <v>74</v>
      </c>
      <c r="AE456" t="s">
        <v>74</v>
      </c>
      <c r="AF456" t="s">
        <v>74</v>
      </c>
      <c r="AG456">
        <v>58</v>
      </c>
      <c r="AH456">
        <v>21</v>
      </c>
      <c r="AI456">
        <v>22</v>
      </c>
      <c r="AJ456">
        <v>0</v>
      </c>
      <c r="AK456">
        <v>5</v>
      </c>
      <c r="AL456" t="s">
        <v>994</v>
      </c>
      <c r="AM456" t="s">
        <v>476</v>
      </c>
      <c r="AN456" t="s">
        <v>1551</v>
      </c>
      <c r="AO456" t="s">
        <v>1520</v>
      </c>
      <c r="AP456" t="s">
        <v>1521</v>
      </c>
      <c r="AQ456" t="s">
        <v>74</v>
      </c>
      <c r="AR456" t="s">
        <v>1522</v>
      </c>
      <c r="AS456" t="s">
        <v>1523</v>
      </c>
      <c r="AT456" t="s">
        <v>6392</v>
      </c>
      <c r="AU456">
        <v>2006</v>
      </c>
      <c r="AV456">
        <v>29</v>
      </c>
      <c r="AW456">
        <v>6</v>
      </c>
      <c r="AX456" t="s">
        <v>74</v>
      </c>
      <c r="AY456" t="s">
        <v>74</v>
      </c>
      <c r="AZ456" t="s">
        <v>74</v>
      </c>
      <c r="BA456" t="s">
        <v>74</v>
      </c>
      <c r="BB456">
        <v>467</v>
      </c>
      <c r="BC456">
        <v>475</v>
      </c>
      <c r="BD456" t="s">
        <v>74</v>
      </c>
      <c r="BE456" t="s">
        <v>7270</v>
      </c>
      <c r="BF456" t="str">
        <f>HYPERLINK("http://dx.doi.org/10.1007/s00300-005-0077-2","http://dx.doi.org/10.1007/s00300-005-0077-2")</f>
        <v>http://dx.doi.org/10.1007/s00300-005-0077-2</v>
      </c>
      <c r="BG456" t="s">
        <v>74</v>
      </c>
      <c r="BH456" t="s">
        <v>74</v>
      </c>
      <c r="BI456">
        <v>9</v>
      </c>
      <c r="BJ456" t="s">
        <v>1525</v>
      </c>
      <c r="BK456" t="s">
        <v>97</v>
      </c>
      <c r="BL456" t="s">
        <v>1526</v>
      </c>
      <c r="BM456" t="s">
        <v>7258</v>
      </c>
      <c r="BN456" t="s">
        <v>74</v>
      </c>
      <c r="BO456" t="s">
        <v>74</v>
      </c>
      <c r="BP456" t="s">
        <v>74</v>
      </c>
      <c r="BQ456" t="s">
        <v>74</v>
      </c>
      <c r="BR456" t="s">
        <v>100</v>
      </c>
      <c r="BS456" t="s">
        <v>7271</v>
      </c>
      <c r="BT456" t="str">
        <f>HYPERLINK("https%3A%2F%2Fwww.webofscience.com%2Fwos%2Fwoscc%2Ffull-record%2FWOS:000238425400003","View Full Record in Web of Science")</f>
        <v>View Full Record in Web of Science</v>
      </c>
    </row>
    <row r="457" spans="1:72" x14ac:dyDescent="0.15">
      <c r="A457" t="s">
        <v>72</v>
      </c>
      <c r="B457" t="s">
        <v>7272</v>
      </c>
      <c r="C457" t="s">
        <v>74</v>
      </c>
      <c r="D457" t="s">
        <v>74</v>
      </c>
      <c r="E457" t="s">
        <v>74</v>
      </c>
      <c r="F457" t="s">
        <v>7273</v>
      </c>
      <c r="G457" t="s">
        <v>74</v>
      </c>
      <c r="H457" t="s">
        <v>74</v>
      </c>
      <c r="I457" t="s">
        <v>7274</v>
      </c>
      <c r="J457" t="s">
        <v>1511</v>
      </c>
      <c r="K457" t="s">
        <v>74</v>
      </c>
      <c r="L457" t="s">
        <v>74</v>
      </c>
      <c r="M457" t="s">
        <v>78</v>
      </c>
      <c r="N457" t="s">
        <v>79</v>
      </c>
      <c r="O457" t="s">
        <v>74</v>
      </c>
      <c r="P457" t="s">
        <v>74</v>
      </c>
      <c r="Q457" t="s">
        <v>74</v>
      </c>
      <c r="R457" t="s">
        <v>74</v>
      </c>
      <c r="S457" t="s">
        <v>74</v>
      </c>
      <c r="T457" t="s">
        <v>74</v>
      </c>
      <c r="U457" t="s">
        <v>7275</v>
      </c>
      <c r="V457" t="s">
        <v>7276</v>
      </c>
      <c r="W457" t="s">
        <v>7277</v>
      </c>
      <c r="X457" t="s">
        <v>7278</v>
      </c>
      <c r="Y457" t="s">
        <v>7279</v>
      </c>
      <c r="Z457" t="s">
        <v>7280</v>
      </c>
      <c r="AA457" t="s">
        <v>7281</v>
      </c>
      <c r="AB457" t="s">
        <v>7282</v>
      </c>
      <c r="AC457" t="s">
        <v>74</v>
      </c>
      <c r="AD457" t="s">
        <v>74</v>
      </c>
      <c r="AE457" t="s">
        <v>74</v>
      </c>
      <c r="AF457" t="s">
        <v>74</v>
      </c>
      <c r="AG457">
        <v>41</v>
      </c>
      <c r="AH457">
        <v>44</v>
      </c>
      <c r="AI457">
        <v>50</v>
      </c>
      <c r="AJ457">
        <v>1</v>
      </c>
      <c r="AK457">
        <v>27</v>
      </c>
      <c r="AL457" t="s">
        <v>994</v>
      </c>
      <c r="AM457" t="s">
        <v>476</v>
      </c>
      <c r="AN457" t="s">
        <v>1551</v>
      </c>
      <c r="AO457" t="s">
        <v>1520</v>
      </c>
      <c r="AP457" t="s">
        <v>1521</v>
      </c>
      <c r="AQ457" t="s">
        <v>74</v>
      </c>
      <c r="AR457" t="s">
        <v>1522</v>
      </c>
      <c r="AS457" t="s">
        <v>1523</v>
      </c>
      <c r="AT457" t="s">
        <v>6392</v>
      </c>
      <c r="AU457">
        <v>2006</v>
      </c>
      <c r="AV457">
        <v>29</v>
      </c>
      <c r="AW457">
        <v>6</v>
      </c>
      <c r="AX457" t="s">
        <v>74</v>
      </c>
      <c r="AY457" t="s">
        <v>74</v>
      </c>
      <c r="AZ457" t="s">
        <v>74</v>
      </c>
      <c r="BA457" t="s">
        <v>74</v>
      </c>
      <c r="BB457">
        <v>476</v>
      </c>
      <c r="BC457">
        <v>486</v>
      </c>
      <c r="BD457" t="s">
        <v>74</v>
      </c>
      <c r="BE457" t="s">
        <v>7283</v>
      </c>
      <c r="BF457" t="str">
        <f>HYPERLINK("http://dx.doi.org/10.1007/s00300-005-0078-1","http://dx.doi.org/10.1007/s00300-005-0078-1")</f>
        <v>http://dx.doi.org/10.1007/s00300-005-0078-1</v>
      </c>
      <c r="BG457" t="s">
        <v>74</v>
      </c>
      <c r="BH457" t="s">
        <v>74</v>
      </c>
      <c r="BI457">
        <v>11</v>
      </c>
      <c r="BJ457" t="s">
        <v>1525</v>
      </c>
      <c r="BK457" t="s">
        <v>97</v>
      </c>
      <c r="BL457" t="s">
        <v>1526</v>
      </c>
      <c r="BM457" t="s">
        <v>7258</v>
      </c>
      <c r="BN457" t="s">
        <v>74</v>
      </c>
      <c r="BO457" t="s">
        <v>147</v>
      </c>
      <c r="BP457" t="s">
        <v>74</v>
      </c>
      <c r="BQ457" t="s">
        <v>74</v>
      </c>
      <c r="BR457" t="s">
        <v>100</v>
      </c>
      <c r="BS457" t="s">
        <v>7284</v>
      </c>
      <c r="BT457" t="str">
        <f>HYPERLINK("https%3A%2F%2Fwww.webofscience.com%2Fwos%2Fwoscc%2Ffull-record%2FWOS:000238425400004","View Full Record in Web of Science")</f>
        <v>View Full Record in Web of Science</v>
      </c>
    </row>
    <row r="458" spans="1:72" x14ac:dyDescent="0.15">
      <c r="A458" t="s">
        <v>72</v>
      </c>
      <c r="B458" t="s">
        <v>7285</v>
      </c>
      <c r="C458" t="s">
        <v>74</v>
      </c>
      <c r="D458" t="s">
        <v>74</v>
      </c>
      <c r="E458" t="s">
        <v>74</v>
      </c>
      <c r="F458" t="s">
        <v>7286</v>
      </c>
      <c r="G458" t="s">
        <v>74</v>
      </c>
      <c r="H458" t="s">
        <v>74</v>
      </c>
      <c r="I458" t="s">
        <v>7287</v>
      </c>
      <c r="J458" t="s">
        <v>1511</v>
      </c>
      <c r="K458" t="s">
        <v>74</v>
      </c>
      <c r="L458" t="s">
        <v>74</v>
      </c>
      <c r="M458" t="s">
        <v>78</v>
      </c>
      <c r="N458" t="s">
        <v>79</v>
      </c>
      <c r="O458" t="s">
        <v>74</v>
      </c>
      <c r="P458" t="s">
        <v>74</v>
      </c>
      <c r="Q458" t="s">
        <v>74</v>
      </c>
      <c r="R458" t="s">
        <v>74</v>
      </c>
      <c r="S458" t="s">
        <v>74</v>
      </c>
      <c r="T458" t="s">
        <v>74</v>
      </c>
      <c r="U458" t="s">
        <v>7288</v>
      </c>
      <c r="V458" t="s">
        <v>7289</v>
      </c>
      <c r="W458" t="s">
        <v>7290</v>
      </c>
      <c r="X458" t="s">
        <v>7291</v>
      </c>
      <c r="Y458" t="s">
        <v>7292</v>
      </c>
      <c r="Z458" t="s">
        <v>7293</v>
      </c>
      <c r="AA458" t="s">
        <v>74</v>
      </c>
      <c r="AB458" t="s">
        <v>74</v>
      </c>
      <c r="AC458" t="s">
        <v>74</v>
      </c>
      <c r="AD458" t="s">
        <v>74</v>
      </c>
      <c r="AE458" t="s">
        <v>74</v>
      </c>
      <c r="AF458" t="s">
        <v>74</v>
      </c>
      <c r="AG458">
        <v>42</v>
      </c>
      <c r="AH458">
        <v>14</v>
      </c>
      <c r="AI458">
        <v>15</v>
      </c>
      <c r="AJ458">
        <v>0</v>
      </c>
      <c r="AK458">
        <v>11</v>
      </c>
      <c r="AL458" t="s">
        <v>994</v>
      </c>
      <c r="AM458" t="s">
        <v>476</v>
      </c>
      <c r="AN458" t="s">
        <v>1551</v>
      </c>
      <c r="AO458" t="s">
        <v>1520</v>
      </c>
      <c r="AP458" t="s">
        <v>1521</v>
      </c>
      <c r="AQ458" t="s">
        <v>74</v>
      </c>
      <c r="AR458" t="s">
        <v>1522</v>
      </c>
      <c r="AS458" t="s">
        <v>1523</v>
      </c>
      <c r="AT458" t="s">
        <v>6392</v>
      </c>
      <c r="AU458">
        <v>2006</v>
      </c>
      <c r="AV458">
        <v>29</v>
      </c>
      <c r="AW458">
        <v>6</v>
      </c>
      <c r="AX458" t="s">
        <v>74</v>
      </c>
      <c r="AY458" t="s">
        <v>74</v>
      </c>
      <c r="AZ458" t="s">
        <v>74</v>
      </c>
      <c r="BA458" t="s">
        <v>74</v>
      </c>
      <c r="BB458">
        <v>495</v>
      </c>
      <c r="BC458">
        <v>501</v>
      </c>
      <c r="BD458" t="s">
        <v>74</v>
      </c>
      <c r="BE458" t="s">
        <v>7294</v>
      </c>
      <c r="BF458" t="str">
        <f>HYPERLINK("http://dx.doi.org/10.1007/s00300-005-0080-7","http://dx.doi.org/10.1007/s00300-005-0080-7")</f>
        <v>http://dx.doi.org/10.1007/s00300-005-0080-7</v>
      </c>
      <c r="BG458" t="s">
        <v>74</v>
      </c>
      <c r="BH458" t="s">
        <v>74</v>
      </c>
      <c r="BI458">
        <v>7</v>
      </c>
      <c r="BJ458" t="s">
        <v>1525</v>
      </c>
      <c r="BK458" t="s">
        <v>97</v>
      </c>
      <c r="BL458" t="s">
        <v>1526</v>
      </c>
      <c r="BM458" t="s">
        <v>7258</v>
      </c>
      <c r="BN458" t="s">
        <v>74</v>
      </c>
      <c r="BO458" t="s">
        <v>74</v>
      </c>
      <c r="BP458" t="s">
        <v>74</v>
      </c>
      <c r="BQ458" t="s">
        <v>74</v>
      </c>
      <c r="BR458" t="s">
        <v>100</v>
      </c>
      <c r="BS458" t="s">
        <v>7295</v>
      </c>
      <c r="BT458" t="str">
        <f>HYPERLINK("https%3A%2F%2Fwww.webofscience.com%2Fwos%2Fwoscc%2Ffull-record%2FWOS:000238425400006","View Full Record in Web of Science")</f>
        <v>View Full Record in Web of Science</v>
      </c>
    </row>
    <row r="459" spans="1:72" x14ac:dyDescent="0.15">
      <c r="A459" t="s">
        <v>72</v>
      </c>
      <c r="B459" t="s">
        <v>7296</v>
      </c>
      <c r="C459" t="s">
        <v>74</v>
      </c>
      <c r="D459" t="s">
        <v>74</v>
      </c>
      <c r="E459" t="s">
        <v>74</v>
      </c>
      <c r="F459" t="s">
        <v>7296</v>
      </c>
      <c r="G459" t="s">
        <v>74</v>
      </c>
      <c r="H459" t="s">
        <v>74</v>
      </c>
      <c r="I459" t="s">
        <v>7297</v>
      </c>
      <c r="J459" t="s">
        <v>1511</v>
      </c>
      <c r="K459" t="s">
        <v>74</v>
      </c>
      <c r="L459" t="s">
        <v>74</v>
      </c>
      <c r="M459" t="s">
        <v>78</v>
      </c>
      <c r="N459" t="s">
        <v>79</v>
      </c>
      <c r="O459" t="s">
        <v>74</v>
      </c>
      <c r="P459" t="s">
        <v>74</v>
      </c>
      <c r="Q459" t="s">
        <v>74</v>
      </c>
      <c r="R459" t="s">
        <v>74</v>
      </c>
      <c r="S459" t="s">
        <v>74</v>
      </c>
      <c r="T459" t="s">
        <v>74</v>
      </c>
      <c r="U459" t="s">
        <v>7298</v>
      </c>
      <c r="V459" t="s">
        <v>7299</v>
      </c>
      <c r="W459" t="s">
        <v>7300</v>
      </c>
      <c r="X459" t="s">
        <v>7301</v>
      </c>
      <c r="Y459" t="s">
        <v>7302</v>
      </c>
      <c r="Z459" t="s">
        <v>7303</v>
      </c>
      <c r="AA459" t="s">
        <v>2589</v>
      </c>
      <c r="AB459" t="s">
        <v>2590</v>
      </c>
      <c r="AC459" t="s">
        <v>74</v>
      </c>
      <c r="AD459" t="s">
        <v>74</v>
      </c>
      <c r="AE459" t="s">
        <v>74</v>
      </c>
      <c r="AF459" t="s">
        <v>74</v>
      </c>
      <c r="AG459">
        <v>25</v>
      </c>
      <c r="AH459">
        <v>6</v>
      </c>
      <c r="AI459">
        <v>6</v>
      </c>
      <c r="AJ459">
        <v>0</v>
      </c>
      <c r="AK459">
        <v>13</v>
      </c>
      <c r="AL459" t="s">
        <v>994</v>
      </c>
      <c r="AM459" t="s">
        <v>476</v>
      </c>
      <c r="AN459" t="s">
        <v>995</v>
      </c>
      <c r="AO459" t="s">
        <v>1520</v>
      </c>
      <c r="AP459" t="s">
        <v>74</v>
      </c>
      <c r="AQ459" t="s">
        <v>74</v>
      </c>
      <c r="AR459" t="s">
        <v>1522</v>
      </c>
      <c r="AS459" t="s">
        <v>1523</v>
      </c>
      <c r="AT459" t="s">
        <v>6392</v>
      </c>
      <c r="AU459">
        <v>2006</v>
      </c>
      <c r="AV459">
        <v>29</v>
      </c>
      <c r="AW459">
        <v>6</v>
      </c>
      <c r="AX459" t="s">
        <v>74</v>
      </c>
      <c r="AY459" t="s">
        <v>74</v>
      </c>
      <c r="AZ459" t="s">
        <v>74</v>
      </c>
      <c r="BA459" t="s">
        <v>74</v>
      </c>
      <c r="BB459">
        <v>519</v>
      </c>
      <c r="BC459">
        <v>525</v>
      </c>
      <c r="BD459" t="s">
        <v>74</v>
      </c>
      <c r="BE459" t="s">
        <v>7304</v>
      </c>
      <c r="BF459" t="str">
        <f>HYPERLINK("http://dx.doi.org/10.1007/s00300-005-0083-4","http://dx.doi.org/10.1007/s00300-005-0083-4")</f>
        <v>http://dx.doi.org/10.1007/s00300-005-0083-4</v>
      </c>
      <c r="BG459" t="s">
        <v>74</v>
      </c>
      <c r="BH459" t="s">
        <v>74</v>
      </c>
      <c r="BI459">
        <v>7</v>
      </c>
      <c r="BJ459" t="s">
        <v>1525</v>
      </c>
      <c r="BK459" t="s">
        <v>97</v>
      </c>
      <c r="BL459" t="s">
        <v>1526</v>
      </c>
      <c r="BM459" t="s">
        <v>7258</v>
      </c>
      <c r="BN459" t="s">
        <v>74</v>
      </c>
      <c r="BO459" t="s">
        <v>74</v>
      </c>
      <c r="BP459" t="s">
        <v>74</v>
      </c>
      <c r="BQ459" t="s">
        <v>74</v>
      </c>
      <c r="BR459" t="s">
        <v>100</v>
      </c>
      <c r="BS459" t="s">
        <v>7305</v>
      </c>
      <c r="BT459" t="str">
        <f>HYPERLINK("https%3A%2F%2Fwww.webofscience.com%2Fwos%2Fwoscc%2Ffull-record%2FWOS:000238425400009","View Full Record in Web of Science")</f>
        <v>View Full Record in Web of Science</v>
      </c>
    </row>
    <row r="460" spans="1:72" x14ac:dyDescent="0.15">
      <c r="A460" t="s">
        <v>72</v>
      </c>
      <c r="B460" t="s">
        <v>7306</v>
      </c>
      <c r="C460" t="s">
        <v>74</v>
      </c>
      <c r="D460" t="s">
        <v>74</v>
      </c>
      <c r="E460" t="s">
        <v>74</v>
      </c>
      <c r="F460" t="s">
        <v>7306</v>
      </c>
      <c r="G460" t="s">
        <v>74</v>
      </c>
      <c r="H460" t="s">
        <v>74</v>
      </c>
      <c r="I460" t="s">
        <v>7307</v>
      </c>
      <c r="J460" t="s">
        <v>1511</v>
      </c>
      <c r="K460" t="s">
        <v>74</v>
      </c>
      <c r="L460" t="s">
        <v>74</v>
      </c>
      <c r="M460" t="s">
        <v>78</v>
      </c>
      <c r="N460" t="s">
        <v>79</v>
      </c>
      <c r="O460" t="s">
        <v>74</v>
      </c>
      <c r="P460" t="s">
        <v>74</v>
      </c>
      <c r="Q460" t="s">
        <v>74</v>
      </c>
      <c r="R460" t="s">
        <v>74</v>
      </c>
      <c r="S460" t="s">
        <v>74</v>
      </c>
      <c r="T460" t="s">
        <v>74</v>
      </c>
      <c r="U460" t="s">
        <v>7308</v>
      </c>
      <c r="V460" t="s">
        <v>7309</v>
      </c>
      <c r="W460" t="s">
        <v>7310</v>
      </c>
      <c r="X460" t="s">
        <v>7311</v>
      </c>
      <c r="Y460" t="s">
        <v>7312</v>
      </c>
      <c r="Z460" t="s">
        <v>7313</v>
      </c>
      <c r="AA460" t="s">
        <v>74</v>
      </c>
      <c r="AB460" t="s">
        <v>7314</v>
      </c>
      <c r="AC460" t="s">
        <v>74</v>
      </c>
      <c r="AD460" t="s">
        <v>74</v>
      </c>
      <c r="AE460" t="s">
        <v>74</v>
      </c>
      <c r="AF460" t="s">
        <v>74</v>
      </c>
      <c r="AG460">
        <v>28</v>
      </c>
      <c r="AH460">
        <v>25</v>
      </c>
      <c r="AI460">
        <v>29</v>
      </c>
      <c r="AJ460">
        <v>0</v>
      </c>
      <c r="AK460">
        <v>12</v>
      </c>
      <c r="AL460" t="s">
        <v>994</v>
      </c>
      <c r="AM460" t="s">
        <v>476</v>
      </c>
      <c r="AN460" t="s">
        <v>995</v>
      </c>
      <c r="AO460" t="s">
        <v>1520</v>
      </c>
      <c r="AP460" t="s">
        <v>74</v>
      </c>
      <c r="AQ460" t="s">
        <v>74</v>
      </c>
      <c r="AR460" t="s">
        <v>1522</v>
      </c>
      <c r="AS460" t="s">
        <v>1523</v>
      </c>
      <c r="AT460" t="s">
        <v>6392</v>
      </c>
      <c r="AU460">
        <v>2006</v>
      </c>
      <c r="AV460">
        <v>29</v>
      </c>
      <c r="AW460">
        <v>6</v>
      </c>
      <c r="AX460" t="s">
        <v>74</v>
      </c>
      <c r="AY460" t="s">
        <v>74</v>
      </c>
      <c r="AZ460" t="s">
        <v>74</v>
      </c>
      <c r="BA460" t="s">
        <v>74</v>
      </c>
      <c r="BB460">
        <v>526</v>
      </c>
      <c r="BC460">
        <v>531</v>
      </c>
      <c r="BD460" t="s">
        <v>74</v>
      </c>
      <c r="BE460" t="s">
        <v>7315</v>
      </c>
      <c r="BF460" t="str">
        <f>HYPERLINK("http://dx.doi.org/10.1007/s00300-005-0084-3","http://dx.doi.org/10.1007/s00300-005-0084-3")</f>
        <v>http://dx.doi.org/10.1007/s00300-005-0084-3</v>
      </c>
      <c r="BG460" t="s">
        <v>74</v>
      </c>
      <c r="BH460" t="s">
        <v>74</v>
      </c>
      <c r="BI460">
        <v>6</v>
      </c>
      <c r="BJ460" t="s">
        <v>1525</v>
      </c>
      <c r="BK460" t="s">
        <v>97</v>
      </c>
      <c r="BL460" t="s">
        <v>1526</v>
      </c>
      <c r="BM460" t="s">
        <v>7258</v>
      </c>
      <c r="BN460" t="s">
        <v>74</v>
      </c>
      <c r="BO460" t="s">
        <v>74</v>
      </c>
      <c r="BP460" t="s">
        <v>74</v>
      </c>
      <c r="BQ460" t="s">
        <v>74</v>
      </c>
      <c r="BR460" t="s">
        <v>100</v>
      </c>
      <c r="BS460" t="s">
        <v>7316</v>
      </c>
      <c r="BT460" t="str">
        <f>HYPERLINK("https%3A%2F%2Fwww.webofscience.com%2Fwos%2Fwoscc%2Ffull-record%2FWOS:000238425400010","View Full Record in Web of Science")</f>
        <v>View Full Record in Web of Science</v>
      </c>
    </row>
    <row r="461" spans="1:72" x14ac:dyDescent="0.15">
      <c r="A461" t="s">
        <v>72</v>
      </c>
      <c r="B461" t="s">
        <v>7317</v>
      </c>
      <c r="C461" t="s">
        <v>74</v>
      </c>
      <c r="D461" t="s">
        <v>74</v>
      </c>
      <c r="E461" t="s">
        <v>74</v>
      </c>
      <c r="F461" t="s">
        <v>7317</v>
      </c>
      <c r="G461" t="s">
        <v>74</v>
      </c>
      <c r="H461" t="s">
        <v>74</v>
      </c>
      <c r="I461" t="s">
        <v>7318</v>
      </c>
      <c r="J461" t="s">
        <v>1511</v>
      </c>
      <c r="K461" t="s">
        <v>74</v>
      </c>
      <c r="L461" t="s">
        <v>74</v>
      </c>
      <c r="M461" t="s">
        <v>78</v>
      </c>
      <c r="N461" t="s">
        <v>79</v>
      </c>
      <c r="O461" t="s">
        <v>74</v>
      </c>
      <c r="P461" t="s">
        <v>74</v>
      </c>
      <c r="Q461" t="s">
        <v>74</v>
      </c>
      <c r="R461" t="s">
        <v>74</v>
      </c>
      <c r="S461" t="s">
        <v>74</v>
      </c>
      <c r="T461" t="s">
        <v>7319</v>
      </c>
      <c r="U461" t="s">
        <v>7320</v>
      </c>
      <c r="V461" t="s">
        <v>7321</v>
      </c>
      <c r="W461" t="s">
        <v>7322</v>
      </c>
      <c r="X461" t="s">
        <v>6241</v>
      </c>
      <c r="Y461" t="s">
        <v>5601</v>
      </c>
      <c r="Z461" t="s">
        <v>7323</v>
      </c>
      <c r="AA461" t="s">
        <v>4803</v>
      </c>
      <c r="AB461" t="s">
        <v>7324</v>
      </c>
      <c r="AC461" t="s">
        <v>74</v>
      </c>
      <c r="AD461" t="s">
        <v>74</v>
      </c>
      <c r="AE461" t="s">
        <v>74</v>
      </c>
      <c r="AF461" t="s">
        <v>74</v>
      </c>
      <c r="AG461">
        <v>35</v>
      </c>
      <c r="AH461">
        <v>11</v>
      </c>
      <c r="AI461">
        <v>15</v>
      </c>
      <c r="AJ461">
        <v>1</v>
      </c>
      <c r="AK461">
        <v>15</v>
      </c>
      <c r="AL461" t="s">
        <v>994</v>
      </c>
      <c r="AM461" t="s">
        <v>476</v>
      </c>
      <c r="AN461" t="s">
        <v>995</v>
      </c>
      <c r="AO461" t="s">
        <v>1520</v>
      </c>
      <c r="AP461" t="s">
        <v>74</v>
      </c>
      <c r="AQ461" t="s">
        <v>74</v>
      </c>
      <c r="AR461" t="s">
        <v>1522</v>
      </c>
      <c r="AS461" t="s">
        <v>1523</v>
      </c>
      <c r="AT461" t="s">
        <v>6392</v>
      </c>
      <c r="AU461">
        <v>2006</v>
      </c>
      <c r="AV461">
        <v>29</v>
      </c>
      <c r="AW461">
        <v>6</v>
      </c>
      <c r="AX461" t="s">
        <v>74</v>
      </c>
      <c r="AY461" t="s">
        <v>74</v>
      </c>
      <c r="AZ461" t="s">
        <v>74</v>
      </c>
      <c r="BA461" t="s">
        <v>74</v>
      </c>
      <c r="BB461">
        <v>532</v>
      </c>
      <c r="BC461">
        <v>539</v>
      </c>
      <c r="BD461" t="s">
        <v>74</v>
      </c>
      <c r="BE461" t="s">
        <v>7325</v>
      </c>
      <c r="BF461" t="str">
        <f>HYPERLINK("http://dx.doi.org/10.1007/s00300-005-0085-2","http://dx.doi.org/10.1007/s00300-005-0085-2")</f>
        <v>http://dx.doi.org/10.1007/s00300-005-0085-2</v>
      </c>
      <c r="BG461" t="s">
        <v>74</v>
      </c>
      <c r="BH461" t="s">
        <v>74</v>
      </c>
      <c r="BI461">
        <v>8</v>
      </c>
      <c r="BJ461" t="s">
        <v>1525</v>
      </c>
      <c r="BK461" t="s">
        <v>97</v>
      </c>
      <c r="BL461" t="s">
        <v>1526</v>
      </c>
      <c r="BM461" t="s">
        <v>7258</v>
      </c>
      <c r="BN461" t="s">
        <v>74</v>
      </c>
      <c r="BO461" t="s">
        <v>7326</v>
      </c>
      <c r="BP461" t="s">
        <v>74</v>
      </c>
      <c r="BQ461" t="s">
        <v>74</v>
      </c>
      <c r="BR461" t="s">
        <v>100</v>
      </c>
      <c r="BS461" t="s">
        <v>7327</v>
      </c>
      <c r="BT461" t="str">
        <f>HYPERLINK("https%3A%2F%2Fwww.webofscience.com%2Fwos%2Fwoscc%2Ffull-record%2FWOS:000238425400011","View Full Record in Web of Science")</f>
        <v>View Full Record in Web of Science</v>
      </c>
    </row>
    <row r="462" spans="1:72" x14ac:dyDescent="0.15">
      <c r="A462" t="s">
        <v>72</v>
      </c>
      <c r="B462" t="s">
        <v>7328</v>
      </c>
      <c r="C462" t="s">
        <v>74</v>
      </c>
      <c r="D462" t="s">
        <v>74</v>
      </c>
      <c r="E462" t="s">
        <v>74</v>
      </c>
      <c r="F462" t="s">
        <v>7329</v>
      </c>
      <c r="G462" t="s">
        <v>74</v>
      </c>
      <c r="H462" t="s">
        <v>74</v>
      </c>
      <c r="I462" t="s">
        <v>7330</v>
      </c>
      <c r="J462" t="s">
        <v>3660</v>
      </c>
      <c r="K462" t="s">
        <v>74</v>
      </c>
      <c r="L462" t="s">
        <v>74</v>
      </c>
      <c r="M462" t="s">
        <v>78</v>
      </c>
      <c r="N462" t="s">
        <v>79</v>
      </c>
      <c r="O462" t="s">
        <v>74</v>
      </c>
      <c r="P462" t="s">
        <v>74</v>
      </c>
      <c r="Q462" t="s">
        <v>74</v>
      </c>
      <c r="R462" t="s">
        <v>74</v>
      </c>
      <c r="S462" t="s">
        <v>74</v>
      </c>
      <c r="T462" t="s">
        <v>7331</v>
      </c>
      <c r="U462" t="s">
        <v>7332</v>
      </c>
      <c r="V462" t="s">
        <v>7333</v>
      </c>
      <c r="W462" t="s">
        <v>7334</v>
      </c>
      <c r="X462" t="s">
        <v>7335</v>
      </c>
      <c r="Y462" t="s">
        <v>7336</v>
      </c>
      <c r="Z462" t="s">
        <v>7337</v>
      </c>
      <c r="AA462" t="s">
        <v>7338</v>
      </c>
      <c r="AB462" t="s">
        <v>7339</v>
      </c>
      <c r="AC462" t="s">
        <v>74</v>
      </c>
      <c r="AD462" t="s">
        <v>74</v>
      </c>
      <c r="AE462" t="s">
        <v>74</v>
      </c>
      <c r="AF462" t="s">
        <v>74</v>
      </c>
      <c r="AG462">
        <v>19</v>
      </c>
      <c r="AH462">
        <v>36</v>
      </c>
      <c r="AI462">
        <v>39</v>
      </c>
      <c r="AJ462">
        <v>1</v>
      </c>
      <c r="AK462">
        <v>18</v>
      </c>
      <c r="AL462" t="s">
        <v>1139</v>
      </c>
      <c r="AM462" t="s">
        <v>476</v>
      </c>
      <c r="AN462" t="s">
        <v>1140</v>
      </c>
      <c r="AO462" t="s">
        <v>3673</v>
      </c>
      <c r="AP462" t="s">
        <v>7340</v>
      </c>
      <c r="AQ462" t="s">
        <v>74</v>
      </c>
      <c r="AR462" t="s">
        <v>3674</v>
      </c>
      <c r="AS462" t="s">
        <v>3675</v>
      </c>
      <c r="AT462" t="s">
        <v>6392</v>
      </c>
      <c r="AU462">
        <v>2006</v>
      </c>
      <c r="AV462">
        <v>65</v>
      </c>
      <c r="AW462">
        <v>3</v>
      </c>
      <c r="AX462" t="s">
        <v>74</v>
      </c>
      <c r="AY462" t="s">
        <v>74</v>
      </c>
      <c r="AZ462" t="s">
        <v>74</v>
      </c>
      <c r="BA462" t="s">
        <v>74</v>
      </c>
      <c r="BB462">
        <v>519</v>
      </c>
      <c r="BC462">
        <v>525</v>
      </c>
      <c r="BD462" t="s">
        <v>74</v>
      </c>
      <c r="BE462" t="s">
        <v>7341</v>
      </c>
      <c r="BF462" t="str">
        <f>HYPERLINK("http://dx.doi.org/10.1016/j.yqres.2005.07.003","http://dx.doi.org/10.1016/j.yqres.2005.07.003")</f>
        <v>http://dx.doi.org/10.1016/j.yqres.2005.07.003</v>
      </c>
      <c r="BG462" t="s">
        <v>74</v>
      </c>
      <c r="BH462" t="s">
        <v>74</v>
      </c>
      <c r="BI462">
        <v>7</v>
      </c>
      <c r="BJ462" t="s">
        <v>2893</v>
      </c>
      <c r="BK462" t="s">
        <v>97</v>
      </c>
      <c r="BL462" t="s">
        <v>2894</v>
      </c>
      <c r="BM462" t="s">
        <v>7342</v>
      </c>
      <c r="BN462" t="s">
        <v>74</v>
      </c>
      <c r="BO462" t="s">
        <v>74</v>
      </c>
      <c r="BP462" t="s">
        <v>74</v>
      </c>
      <c r="BQ462" t="s">
        <v>74</v>
      </c>
      <c r="BR462" t="s">
        <v>100</v>
      </c>
      <c r="BS462" t="s">
        <v>7343</v>
      </c>
      <c r="BT462" t="str">
        <f>HYPERLINK("https%3A%2F%2Fwww.webofscience.com%2Fwos%2Fwoscc%2Ffull-record%2FWOS:000237822900016","View Full Record in Web of Science")</f>
        <v>View Full Record in Web of Science</v>
      </c>
    </row>
    <row r="463" spans="1:72" x14ac:dyDescent="0.15">
      <c r="A463" t="s">
        <v>72</v>
      </c>
      <c r="B463" t="s">
        <v>7344</v>
      </c>
      <c r="C463" t="s">
        <v>74</v>
      </c>
      <c r="D463" t="s">
        <v>74</v>
      </c>
      <c r="E463" t="s">
        <v>74</v>
      </c>
      <c r="F463" t="s">
        <v>7345</v>
      </c>
      <c r="G463" t="s">
        <v>74</v>
      </c>
      <c r="H463" t="s">
        <v>74</v>
      </c>
      <c r="I463" t="s">
        <v>7346</v>
      </c>
      <c r="J463" t="s">
        <v>5721</v>
      </c>
      <c r="K463" t="s">
        <v>74</v>
      </c>
      <c r="L463" t="s">
        <v>74</v>
      </c>
      <c r="M463" t="s">
        <v>78</v>
      </c>
      <c r="N463" t="s">
        <v>79</v>
      </c>
      <c r="O463" t="s">
        <v>74</v>
      </c>
      <c r="P463" t="s">
        <v>74</v>
      </c>
      <c r="Q463" t="s">
        <v>74</v>
      </c>
      <c r="R463" t="s">
        <v>74</v>
      </c>
      <c r="S463" t="s">
        <v>74</v>
      </c>
      <c r="T463" t="s">
        <v>74</v>
      </c>
      <c r="U463" t="s">
        <v>7347</v>
      </c>
      <c r="V463" t="s">
        <v>7348</v>
      </c>
      <c r="W463" t="s">
        <v>7349</v>
      </c>
      <c r="X463" t="s">
        <v>7350</v>
      </c>
      <c r="Y463" t="s">
        <v>7351</v>
      </c>
      <c r="Z463" t="s">
        <v>7352</v>
      </c>
      <c r="AA463" t="s">
        <v>7353</v>
      </c>
      <c r="AB463" t="s">
        <v>7354</v>
      </c>
      <c r="AC463" t="s">
        <v>74</v>
      </c>
      <c r="AD463" t="s">
        <v>74</v>
      </c>
      <c r="AE463" t="s">
        <v>74</v>
      </c>
      <c r="AF463" t="s">
        <v>74</v>
      </c>
      <c r="AG463">
        <v>73</v>
      </c>
      <c r="AH463">
        <v>63</v>
      </c>
      <c r="AI463">
        <v>65</v>
      </c>
      <c r="AJ463">
        <v>1</v>
      </c>
      <c r="AK463">
        <v>18</v>
      </c>
      <c r="AL463" t="s">
        <v>387</v>
      </c>
      <c r="AM463" t="s">
        <v>388</v>
      </c>
      <c r="AN463" t="s">
        <v>389</v>
      </c>
      <c r="AO463" t="s">
        <v>5729</v>
      </c>
      <c r="AP463" t="s">
        <v>74</v>
      </c>
      <c r="AQ463" t="s">
        <v>74</v>
      </c>
      <c r="AR463" t="s">
        <v>5730</v>
      </c>
      <c r="AS463" t="s">
        <v>5731</v>
      </c>
      <c r="AT463" t="s">
        <v>6392</v>
      </c>
      <c r="AU463">
        <v>2006</v>
      </c>
      <c r="AV463">
        <v>25</v>
      </c>
      <c r="AW463" t="s">
        <v>7355</v>
      </c>
      <c r="AX463" t="s">
        <v>74</v>
      </c>
      <c r="AY463" t="s">
        <v>74</v>
      </c>
      <c r="AZ463" t="s">
        <v>74</v>
      </c>
      <c r="BA463" t="s">
        <v>74</v>
      </c>
      <c r="BB463">
        <v>886</v>
      </c>
      <c r="BC463">
        <v>903</v>
      </c>
      <c r="BD463" t="s">
        <v>74</v>
      </c>
      <c r="BE463" t="s">
        <v>7356</v>
      </c>
      <c r="BF463" t="str">
        <f>HYPERLINK("http://dx.doi.org/10.1016/j.quascirev.2005.09.007","http://dx.doi.org/10.1016/j.quascirev.2005.09.007")</f>
        <v>http://dx.doi.org/10.1016/j.quascirev.2005.09.007</v>
      </c>
      <c r="BG463" t="s">
        <v>74</v>
      </c>
      <c r="BH463" t="s">
        <v>74</v>
      </c>
      <c r="BI463">
        <v>18</v>
      </c>
      <c r="BJ463" t="s">
        <v>2893</v>
      </c>
      <c r="BK463" t="s">
        <v>97</v>
      </c>
      <c r="BL463" t="s">
        <v>2894</v>
      </c>
      <c r="BM463" t="s">
        <v>7357</v>
      </c>
      <c r="BN463" t="s">
        <v>74</v>
      </c>
      <c r="BO463" t="s">
        <v>74</v>
      </c>
      <c r="BP463" t="s">
        <v>74</v>
      </c>
      <c r="BQ463" t="s">
        <v>74</v>
      </c>
      <c r="BR463" t="s">
        <v>100</v>
      </c>
      <c r="BS463" t="s">
        <v>7358</v>
      </c>
      <c r="BT463" t="str">
        <f>HYPERLINK("https%3A%2F%2Fwww.webofscience.com%2Fwos%2Fwoscc%2Ffull-record%2FWOS:000238300200003","View Full Record in Web of Science")</f>
        <v>View Full Record in Web of Science</v>
      </c>
    </row>
    <row r="464" spans="1:72" x14ac:dyDescent="0.15">
      <c r="A464" t="s">
        <v>72</v>
      </c>
      <c r="B464" t="s">
        <v>7359</v>
      </c>
      <c r="C464" t="s">
        <v>74</v>
      </c>
      <c r="D464" t="s">
        <v>74</v>
      </c>
      <c r="E464" t="s">
        <v>74</v>
      </c>
      <c r="F464" t="s">
        <v>7360</v>
      </c>
      <c r="G464" t="s">
        <v>74</v>
      </c>
      <c r="H464" t="s">
        <v>74</v>
      </c>
      <c r="I464" t="s">
        <v>7361</v>
      </c>
      <c r="J464" t="s">
        <v>5721</v>
      </c>
      <c r="K464" t="s">
        <v>74</v>
      </c>
      <c r="L464" t="s">
        <v>74</v>
      </c>
      <c r="M464" t="s">
        <v>78</v>
      </c>
      <c r="N464" t="s">
        <v>79</v>
      </c>
      <c r="O464" t="s">
        <v>74</v>
      </c>
      <c r="P464" t="s">
        <v>74</v>
      </c>
      <c r="Q464" t="s">
        <v>74</v>
      </c>
      <c r="R464" t="s">
        <v>74</v>
      </c>
      <c r="S464" t="s">
        <v>74</v>
      </c>
      <c r="T464" t="s">
        <v>74</v>
      </c>
      <c r="U464" t="s">
        <v>7362</v>
      </c>
      <c r="V464" t="s">
        <v>7363</v>
      </c>
      <c r="W464" t="s">
        <v>7364</v>
      </c>
      <c r="X464" t="s">
        <v>7365</v>
      </c>
      <c r="Y464" t="s">
        <v>7366</v>
      </c>
      <c r="Z464" t="s">
        <v>3667</v>
      </c>
      <c r="AA464" t="s">
        <v>7367</v>
      </c>
      <c r="AB464" t="s">
        <v>7368</v>
      </c>
      <c r="AC464" t="s">
        <v>74</v>
      </c>
      <c r="AD464" t="s">
        <v>74</v>
      </c>
      <c r="AE464" t="s">
        <v>74</v>
      </c>
      <c r="AF464" t="s">
        <v>74</v>
      </c>
      <c r="AG464">
        <v>43</v>
      </c>
      <c r="AH464">
        <v>44</v>
      </c>
      <c r="AI464">
        <v>45</v>
      </c>
      <c r="AJ464">
        <v>0</v>
      </c>
      <c r="AK464">
        <v>15</v>
      </c>
      <c r="AL464" t="s">
        <v>387</v>
      </c>
      <c r="AM464" t="s">
        <v>388</v>
      </c>
      <c r="AN464" t="s">
        <v>389</v>
      </c>
      <c r="AO464" t="s">
        <v>5729</v>
      </c>
      <c r="AP464" t="s">
        <v>74</v>
      </c>
      <c r="AQ464" t="s">
        <v>74</v>
      </c>
      <c r="AR464" t="s">
        <v>5730</v>
      </c>
      <c r="AS464" t="s">
        <v>5731</v>
      </c>
      <c r="AT464" t="s">
        <v>6392</v>
      </c>
      <c r="AU464">
        <v>2006</v>
      </c>
      <c r="AV464">
        <v>25</v>
      </c>
      <c r="AW464" t="s">
        <v>7355</v>
      </c>
      <c r="AX464" t="s">
        <v>74</v>
      </c>
      <c r="AY464" t="s">
        <v>74</v>
      </c>
      <c r="AZ464" t="s">
        <v>74</v>
      </c>
      <c r="BA464" t="s">
        <v>74</v>
      </c>
      <c r="BB464">
        <v>933</v>
      </c>
      <c r="BC464">
        <v>944</v>
      </c>
      <c r="BD464" t="s">
        <v>74</v>
      </c>
      <c r="BE464" t="s">
        <v>7369</v>
      </c>
      <c r="BF464" t="str">
        <f>HYPERLINK("http://dx.doi.org/10.1016/j.quascirev.2005.07.012","http://dx.doi.org/10.1016/j.quascirev.2005.07.012")</f>
        <v>http://dx.doi.org/10.1016/j.quascirev.2005.07.012</v>
      </c>
      <c r="BG464" t="s">
        <v>74</v>
      </c>
      <c r="BH464" t="s">
        <v>74</v>
      </c>
      <c r="BI464">
        <v>12</v>
      </c>
      <c r="BJ464" t="s">
        <v>2893</v>
      </c>
      <c r="BK464" t="s">
        <v>97</v>
      </c>
      <c r="BL464" t="s">
        <v>2894</v>
      </c>
      <c r="BM464" t="s">
        <v>7357</v>
      </c>
      <c r="BN464" t="s">
        <v>74</v>
      </c>
      <c r="BO464" t="s">
        <v>74</v>
      </c>
      <c r="BP464" t="s">
        <v>74</v>
      </c>
      <c r="BQ464" t="s">
        <v>74</v>
      </c>
      <c r="BR464" t="s">
        <v>100</v>
      </c>
      <c r="BS464" t="s">
        <v>7370</v>
      </c>
      <c r="BT464" t="str">
        <f>HYPERLINK("https%3A%2F%2Fwww.webofscience.com%2Fwos%2Fwoscc%2Ffull-record%2FWOS:000238300200006","View Full Record in Web of Science")</f>
        <v>View Full Record in Web of Science</v>
      </c>
    </row>
    <row r="465" spans="1:72" x14ac:dyDescent="0.15">
      <c r="A465" t="s">
        <v>72</v>
      </c>
      <c r="B465" t="s">
        <v>7371</v>
      </c>
      <c r="C465" t="s">
        <v>74</v>
      </c>
      <c r="D465" t="s">
        <v>74</v>
      </c>
      <c r="E465" t="s">
        <v>74</v>
      </c>
      <c r="F465" t="s">
        <v>7371</v>
      </c>
      <c r="G465" t="s">
        <v>74</v>
      </c>
      <c r="H465" t="s">
        <v>74</v>
      </c>
      <c r="I465" t="s">
        <v>7372</v>
      </c>
      <c r="J465" t="s">
        <v>7373</v>
      </c>
      <c r="K465" t="s">
        <v>74</v>
      </c>
      <c r="L465" t="s">
        <v>74</v>
      </c>
      <c r="M465" t="s">
        <v>78</v>
      </c>
      <c r="N465" t="s">
        <v>79</v>
      </c>
      <c r="O465" t="s">
        <v>74</v>
      </c>
      <c r="P465" t="s">
        <v>74</v>
      </c>
      <c r="Q465" t="s">
        <v>74</v>
      </c>
      <c r="R465" t="s">
        <v>74</v>
      </c>
      <c r="S465" t="s">
        <v>74</v>
      </c>
      <c r="T465" t="s">
        <v>74</v>
      </c>
      <c r="U465" t="s">
        <v>7374</v>
      </c>
      <c r="V465" t="s">
        <v>7375</v>
      </c>
      <c r="W465" t="s">
        <v>7376</v>
      </c>
      <c r="X465" t="s">
        <v>7377</v>
      </c>
      <c r="Y465" t="s">
        <v>7378</v>
      </c>
      <c r="Z465" t="s">
        <v>7379</v>
      </c>
      <c r="AA465" t="s">
        <v>7380</v>
      </c>
      <c r="AB465" t="s">
        <v>7381</v>
      </c>
      <c r="AC465" t="s">
        <v>74</v>
      </c>
      <c r="AD465" t="s">
        <v>74</v>
      </c>
      <c r="AE465" t="s">
        <v>74</v>
      </c>
      <c r="AF465" t="s">
        <v>74</v>
      </c>
      <c r="AG465">
        <v>25</v>
      </c>
      <c r="AH465">
        <v>23</v>
      </c>
      <c r="AI465">
        <v>24</v>
      </c>
      <c r="AJ465">
        <v>0</v>
      </c>
      <c r="AK465">
        <v>5</v>
      </c>
      <c r="AL465" t="s">
        <v>7382</v>
      </c>
      <c r="AM465" t="s">
        <v>7383</v>
      </c>
      <c r="AN465" t="s">
        <v>7384</v>
      </c>
      <c r="AO465" t="s">
        <v>7385</v>
      </c>
      <c r="AP465" t="s">
        <v>74</v>
      </c>
      <c r="AQ465" t="s">
        <v>74</v>
      </c>
      <c r="AR465" t="s">
        <v>7386</v>
      </c>
      <c r="AS465" t="s">
        <v>7387</v>
      </c>
      <c r="AT465" t="s">
        <v>6392</v>
      </c>
      <c r="AU465">
        <v>2006</v>
      </c>
      <c r="AV465">
        <v>77</v>
      </c>
      <c r="AW465">
        <v>5</v>
      </c>
      <c r="AX465" t="s">
        <v>74</v>
      </c>
      <c r="AY465" t="s">
        <v>74</v>
      </c>
      <c r="AZ465" t="s">
        <v>74</v>
      </c>
      <c r="BA465" t="s">
        <v>74</v>
      </c>
      <c r="BB465" t="s">
        <v>74</v>
      </c>
      <c r="BC465" t="s">
        <v>74</v>
      </c>
      <c r="BD465">
        <v>53705</v>
      </c>
      <c r="BE465" t="s">
        <v>7388</v>
      </c>
      <c r="BF465" t="str">
        <f>HYPERLINK("http://dx.doi.org/10.1063/1.2200751","http://dx.doi.org/10.1063/1.2200751")</f>
        <v>http://dx.doi.org/10.1063/1.2200751</v>
      </c>
      <c r="BG465" t="s">
        <v>74</v>
      </c>
      <c r="BH465" t="s">
        <v>74</v>
      </c>
      <c r="BI465">
        <v>4</v>
      </c>
      <c r="BJ465" t="s">
        <v>7389</v>
      </c>
      <c r="BK465" t="s">
        <v>97</v>
      </c>
      <c r="BL465" t="s">
        <v>7390</v>
      </c>
      <c r="BM465" t="s">
        <v>7391</v>
      </c>
      <c r="BN465" t="s">
        <v>74</v>
      </c>
      <c r="BO465" t="s">
        <v>7392</v>
      </c>
      <c r="BP465" t="s">
        <v>74</v>
      </c>
      <c r="BQ465" t="s">
        <v>74</v>
      </c>
      <c r="BR465" t="s">
        <v>100</v>
      </c>
      <c r="BS465" t="s">
        <v>7393</v>
      </c>
      <c r="BT465" t="str">
        <f>HYPERLINK("https%3A%2F%2Fwww.webofscience.com%2Fwos%2Fwoscc%2Ffull-record%2FWOS:000237946000014","View Full Record in Web of Science")</f>
        <v>View Full Record in Web of Science</v>
      </c>
    </row>
    <row r="466" spans="1:72" x14ac:dyDescent="0.15">
      <c r="A466" t="s">
        <v>72</v>
      </c>
      <c r="B466" t="s">
        <v>7394</v>
      </c>
      <c r="C466" t="s">
        <v>74</v>
      </c>
      <c r="D466" t="s">
        <v>74</v>
      </c>
      <c r="E466" t="s">
        <v>74</v>
      </c>
      <c r="F466" t="s">
        <v>7395</v>
      </c>
      <c r="G466" t="s">
        <v>74</v>
      </c>
      <c r="H466" t="s">
        <v>74</v>
      </c>
      <c r="I466" t="s">
        <v>7396</v>
      </c>
      <c r="J466" t="s">
        <v>7397</v>
      </c>
      <c r="K466" t="s">
        <v>74</v>
      </c>
      <c r="L466" t="s">
        <v>74</v>
      </c>
      <c r="M466" t="s">
        <v>78</v>
      </c>
      <c r="N466" t="s">
        <v>79</v>
      </c>
      <c r="O466" t="s">
        <v>74</v>
      </c>
      <c r="P466" t="s">
        <v>74</v>
      </c>
      <c r="Q466" t="s">
        <v>74</v>
      </c>
      <c r="R466" t="s">
        <v>74</v>
      </c>
      <c r="S466" t="s">
        <v>74</v>
      </c>
      <c r="T466" t="s">
        <v>7398</v>
      </c>
      <c r="U466" t="s">
        <v>7399</v>
      </c>
      <c r="V466" t="s">
        <v>7400</v>
      </c>
      <c r="W466" t="s">
        <v>7401</v>
      </c>
      <c r="X466" t="s">
        <v>6676</v>
      </c>
      <c r="Y466" t="s">
        <v>7402</v>
      </c>
      <c r="Z466" t="s">
        <v>6678</v>
      </c>
      <c r="AA466" t="s">
        <v>6679</v>
      </c>
      <c r="AB466" t="s">
        <v>74</v>
      </c>
      <c r="AC466" t="s">
        <v>74</v>
      </c>
      <c r="AD466" t="s">
        <v>74</v>
      </c>
      <c r="AE466" t="s">
        <v>74</v>
      </c>
      <c r="AF466" t="s">
        <v>74</v>
      </c>
      <c r="AG466">
        <v>22</v>
      </c>
      <c r="AH466">
        <v>22</v>
      </c>
      <c r="AI466">
        <v>22</v>
      </c>
      <c r="AJ466">
        <v>5</v>
      </c>
      <c r="AK466">
        <v>17</v>
      </c>
      <c r="AL466" t="s">
        <v>5623</v>
      </c>
      <c r="AM466" t="s">
        <v>5624</v>
      </c>
      <c r="AN466" t="s">
        <v>5625</v>
      </c>
      <c r="AO466" t="s">
        <v>7403</v>
      </c>
      <c r="AP466" t="s">
        <v>74</v>
      </c>
      <c r="AQ466" t="s">
        <v>74</v>
      </c>
      <c r="AR466" t="s">
        <v>7404</v>
      </c>
      <c r="AS466" t="s">
        <v>7405</v>
      </c>
      <c r="AT466" t="s">
        <v>6392</v>
      </c>
      <c r="AU466">
        <v>2006</v>
      </c>
      <c r="AV466">
        <v>49</v>
      </c>
      <c r="AW466">
        <v>5</v>
      </c>
      <c r="AX466" t="s">
        <v>74</v>
      </c>
      <c r="AY466" t="s">
        <v>74</v>
      </c>
      <c r="AZ466" t="s">
        <v>74</v>
      </c>
      <c r="BA466" t="s">
        <v>74</v>
      </c>
      <c r="BB466">
        <v>554</v>
      </c>
      <c r="BC466">
        <v>560</v>
      </c>
      <c r="BD466" t="s">
        <v>74</v>
      </c>
      <c r="BE466" t="s">
        <v>7406</v>
      </c>
      <c r="BF466" t="str">
        <f>HYPERLINK("http://dx.doi.org/10.1007/S11430-006-0554-7","http://dx.doi.org/10.1007/S11430-006-0554-7")</f>
        <v>http://dx.doi.org/10.1007/S11430-006-0554-7</v>
      </c>
      <c r="BG466" t="s">
        <v>74</v>
      </c>
      <c r="BH466" t="s">
        <v>74</v>
      </c>
      <c r="BI466">
        <v>7</v>
      </c>
      <c r="BJ466" t="s">
        <v>527</v>
      </c>
      <c r="BK466" t="s">
        <v>97</v>
      </c>
      <c r="BL466" t="s">
        <v>528</v>
      </c>
      <c r="BM466" t="s">
        <v>7407</v>
      </c>
      <c r="BN466" t="s">
        <v>74</v>
      </c>
      <c r="BO466" t="s">
        <v>74</v>
      </c>
      <c r="BP466" t="s">
        <v>74</v>
      </c>
      <c r="BQ466" t="s">
        <v>74</v>
      </c>
      <c r="BR466" t="s">
        <v>100</v>
      </c>
      <c r="BS466" t="s">
        <v>7408</v>
      </c>
      <c r="BT466" t="str">
        <f>HYPERLINK("https%3A%2F%2Fwww.webofscience.com%2Fwos%2Fwoscc%2Ffull-record%2FWOS:000238585200012","View Full Record in Web of Science")</f>
        <v>View Full Record in Web of Science</v>
      </c>
    </row>
    <row r="467" spans="1:72" x14ac:dyDescent="0.15">
      <c r="A467" t="s">
        <v>72</v>
      </c>
      <c r="B467" t="s">
        <v>7409</v>
      </c>
      <c r="C467" t="s">
        <v>74</v>
      </c>
      <c r="D467" t="s">
        <v>74</v>
      </c>
      <c r="E467" t="s">
        <v>74</v>
      </c>
      <c r="F467" t="s">
        <v>7409</v>
      </c>
      <c r="G467" t="s">
        <v>74</v>
      </c>
      <c r="H467" t="s">
        <v>74</v>
      </c>
      <c r="I467" t="s">
        <v>7410</v>
      </c>
      <c r="J467" t="s">
        <v>7411</v>
      </c>
      <c r="K467" t="s">
        <v>74</v>
      </c>
      <c r="L467" t="s">
        <v>74</v>
      </c>
      <c r="M467" t="s">
        <v>78</v>
      </c>
      <c r="N467" t="s">
        <v>79</v>
      </c>
      <c r="O467" t="s">
        <v>74</v>
      </c>
      <c r="P467" t="s">
        <v>74</v>
      </c>
      <c r="Q467" t="s">
        <v>74</v>
      </c>
      <c r="R467" t="s">
        <v>74</v>
      </c>
      <c r="S467" t="s">
        <v>74</v>
      </c>
      <c r="T467" t="s">
        <v>74</v>
      </c>
      <c r="U467" t="s">
        <v>7412</v>
      </c>
      <c r="V467" t="s">
        <v>7413</v>
      </c>
      <c r="W467" t="s">
        <v>7414</v>
      </c>
      <c r="X467" t="s">
        <v>7415</v>
      </c>
      <c r="Y467" t="s">
        <v>7416</v>
      </c>
      <c r="Z467" t="s">
        <v>7417</v>
      </c>
      <c r="AA467" t="s">
        <v>3532</v>
      </c>
      <c r="AB467" t="s">
        <v>7418</v>
      </c>
      <c r="AC467" t="s">
        <v>6465</v>
      </c>
      <c r="AD467" t="s">
        <v>6466</v>
      </c>
      <c r="AE467" t="s">
        <v>74</v>
      </c>
      <c r="AF467" t="s">
        <v>74</v>
      </c>
      <c r="AG467">
        <v>61</v>
      </c>
      <c r="AH467">
        <v>20</v>
      </c>
      <c r="AI467">
        <v>28</v>
      </c>
      <c r="AJ467">
        <v>1</v>
      </c>
      <c r="AK467">
        <v>20</v>
      </c>
      <c r="AL467" t="s">
        <v>115</v>
      </c>
      <c r="AM467" t="s">
        <v>116</v>
      </c>
      <c r="AN467" t="s">
        <v>117</v>
      </c>
      <c r="AO467" t="s">
        <v>7419</v>
      </c>
      <c r="AP467" t="s">
        <v>7420</v>
      </c>
      <c r="AQ467" t="s">
        <v>74</v>
      </c>
      <c r="AR467" t="s">
        <v>7421</v>
      </c>
      <c r="AS467" t="s">
        <v>7422</v>
      </c>
      <c r="AT467" t="s">
        <v>6372</v>
      </c>
      <c r="AU467">
        <v>2006</v>
      </c>
      <c r="AV467">
        <v>70</v>
      </c>
      <c r="AW467">
        <v>3</v>
      </c>
      <c r="AX467" t="s">
        <v>74</v>
      </c>
      <c r="AY467" t="s">
        <v>74</v>
      </c>
      <c r="AZ467" t="s">
        <v>74</v>
      </c>
      <c r="BA467" t="s">
        <v>74</v>
      </c>
      <c r="BB467">
        <v>806</v>
      </c>
      <c r="BC467">
        <v>815</v>
      </c>
      <c r="BD467" t="s">
        <v>74</v>
      </c>
      <c r="BE467" t="s">
        <v>7423</v>
      </c>
      <c r="BF467" t="str">
        <f>HYPERLINK("http://dx.doi.org/10.2136/sssaj2005.0333","http://dx.doi.org/10.2136/sssaj2005.0333")</f>
        <v>http://dx.doi.org/10.2136/sssaj2005.0333</v>
      </c>
      <c r="BG467" t="s">
        <v>74</v>
      </c>
      <c r="BH467" t="s">
        <v>74</v>
      </c>
      <c r="BI467">
        <v>10</v>
      </c>
      <c r="BJ467" t="s">
        <v>5630</v>
      </c>
      <c r="BK467" t="s">
        <v>97</v>
      </c>
      <c r="BL467" t="s">
        <v>5631</v>
      </c>
      <c r="BM467" t="s">
        <v>7424</v>
      </c>
      <c r="BN467" t="s">
        <v>74</v>
      </c>
      <c r="BO467" t="s">
        <v>74</v>
      </c>
      <c r="BP467" t="s">
        <v>74</v>
      </c>
      <c r="BQ467" t="s">
        <v>74</v>
      </c>
      <c r="BR467" t="s">
        <v>100</v>
      </c>
      <c r="BS467" t="s">
        <v>7425</v>
      </c>
      <c r="BT467" t="str">
        <f>HYPERLINK("https%3A%2F%2Fwww.webofscience.com%2Fwos%2Fwoscc%2Ffull-record%2FWOS:000237344500012","View Full Record in Web of Science")</f>
        <v>View Full Record in Web of Science</v>
      </c>
    </row>
    <row r="468" spans="1:72" x14ac:dyDescent="0.15">
      <c r="A468" t="s">
        <v>72</v>
      </c>
      <c r="B468" t="s">
        <v>7426</v>
      </c>
      <c r="C468" t="s">
        <v>74</v>
      </c>
      <c r="D468" t="s">
        <v>74</v>
      </c>
      <c r="E468" t="s">
        <v>74</v>
      </c>
      <c r="F468" t="s">
        <v>7426</v>
      </c>
      <c r="G468" t="s">
        <v>74</v>
      </c>
      <c r="H468" t="s">
        <v>74</v>
      </c>
      <c r="I468" t="s">
        <v>7427</v>
      </c>
      <c r="J468" t="s">
        <v>7428</v>
      </c>
      <c r="K468" t="s">
        <v>74</v>
      </c>
      <c r="L468" t="s">
        <v>74</v>
      </c>
      <c r="M468" t="s">
        <v>78</v>
      </c>
      <c r="N468" t="s">
        <v>511</v>
      </c>
      <c r="O468" t="s">
        <v>74</v>
      </c>
      <c r="P468" t="s">
        <v>74</v>
      </c>
      <c r="Q468" t="s">
        <v>74</v>
      </c>
      <c r="R468" t="s">
        <v>74</v>
      </c>
      <c r="S468" t="s">
        <v>74</v>
      </c>
      <c r="T468" t="s">
        <v>7429</v>
      </c>
      <c r="U468" t="s">
        <v>7430</v>
      </c>
      <c r="V468" t="s">
        <v>7431</v>
      </c>
      <c r="W468" t="s">
        <v>7432</v>
      </c>
      <c r="X468" t="s">
        <v>7433</v>
      </c>
      <c r="Y468" t="s">
        <v>7434</v>
      </c>
      <c r="Z468" t="s">
        <v>7435</v>
      </c>
      <c r="AA468" t="s">
        <v>74</v>
      </c>
      <c r="AB468" t="s">
        <v>74</v>
      </c>
      <c r="AC468" t="s">
        <v>74</v>
      </c>
      <c r="AD468" t="s">
        <v>74</v>
      </c>
      <c r="AE468" t="s">
        <v>74</v>
      </c>
      <c r="AF468" t="s">
        <v>74</v>
      </c>
      <c r="AG468">
        <v>204</v>
      </c>
      <c r="AH468">
        <v>92</v>
      </c>
      <c r="AI468">
        <v>101</v>
      </c>
      <c r="AJ468">
        <v>1</v>
      </c>
      <c r="AK468">
        <v>27</v>
      </c>
      <c r="AL468" t="s">
        <v>580</v>
      </c>
      <c r="AM468" t="s">
        <v>388</v>
      </c>
      <c r="AN468" t="s">
        <v>581</v>
      </c>
      <c r="AO468" t="s">
        <v>7436</v>
      </c>
      <c r="AP468" t="s">
        <v>7437</v>
      </c>
      <c r="AQ468" t="s">
        <v>74</v>
      </c>
      <c r="AR468" t="s">
        <v>7438</v>
      </c>
      <c r="AS468" t="s">
        <v>7439</v>
      </c>
      <c r="AT468" t="s">
        <v>6392</v>
      </c>
      <c r="AU468">
        <v>2006</v>
      </c>
      <c r="AV468">
        <v>147</v>
      </c>
      <c r="AW468">
        <v>1</v>
      </c>
      <c r="AX468" t="s">
        <v>74</v>
      </c>
      <c r="AY468" t="s">
        <v>74</v>
      </c>
      <c r="AZ468" t="s">
        <v>74</v>
      </c>
      <c r="BA468" t="s">
        <v>74</v>
      </c>
      <c r="BB468">
        <v>109</v>
      </c>
      <c r="BC468">
        <v>124</v>
      </c>
      <c r="BD468" t="s">
        <v>74</v>
      </c>
      <c r="BE468" t="s">
        <v>7440</v>
      </c>
      <c r="BF468" t="str">
        <f>HYPERLINK("http://dx.doi.org/10.1111/j.1096-3642.2006.00217.x","http://dx.doi.org/10.1111/j.1096-3642.2006.00217.x")</f>
        <v>http://dx.doi.org/10.1111/j.1096-3642.2006.00217.x</v>
      </c>
      <c r="BG468" t="s">
        <v>74</v>
      </c>
      <c r="BH468" t="s">
        <v>74</v>
      </c>
      <c r="BI468">
        <v>16</v>
      </c>
      <c r="BJ468" t="s">
        <v>1000</v>
      </c>
      <c r="BK468" t="s">
        <v>97</v>
      </c>
      <c r="BL468" t="s">
        <v>1000</v>
      </c>
      <c r="BM468" t="s">
        <v>7441</v>
      </c>
      <c r="BN468" t="s">
        <v>74</v>
      </c>
      <c r="BO468" t="s">
        <v>99</v>
      </c>
      <c r="BP468" t="s">
        <v>74</v>
      </c>
      <c r="BQ468" t="s">
        <v>74</v>
      </c>
      <c r="BR468" t="s">
        <v>100</v>
      </c>
      <c r="BS468" t="s">
        <v>7442</v>
      </c>
      <c r="BT468" t="str">
        <f>HYPERLINK("https%3A%2F%2Fwww.webofscience.com%2Fwos%2Fwoscc%2Ffull-record%2FWOS:000237117600004","View Full Record in Web of Science")</f>
        <v>View Full Record in Web of Science</v>
      </c>
    </row>
    <row r="469" spans="1:72" x14ac:dyDescent="0.15">
      <c r="A469" t="s">
        <v>72</v>
      </c>
      <c r="B469" t="s">
        <v>7443</v>
      </c>
      <c r="C469" t="s">
        <v>74</v>
      </c>
      <c r="D469" t="s">
        <v>74</v>
      </c>
      <c r="E469" t="s">
        <v>74</v>
      </c>
      <c r="F469" t="s">
        <v>7444</v>
      </c>
      <c r="G469" t="s">
        <v>74</v>
      </c>
      <c r="H469" t="s">
        <v>74</v>
      </c>
      <c r="I469" t="s">
        <v>7445</v>
      </c>
      <c r="J469" t="s">
        <v>7446</v>
      </c>
      <c r="K469" t="s">
        <v>74</v>
      </c>
      <c r="L469" t="s">
        <v>74</v>
      </c>
      <c r="M469" t="s">
        <v>78</v>
      </c>
      <c r="N469" t="s">
        <v>79</v>
      </c>
      <c r="O469" t="s">
        <v>74</v>
      </c>
      <c r="P469" t="s">
        <v>74</v>
      </c>
      <c r="Q469" t="s">
        <v>74</v>
      </c>
      <c r="R469" t="s">
        <v>74</v>
      </c>
      <c r="S469" t="s">
        <v>74</v>
      </c>
      <c r="T469" t="s">
        <v>7447</v>
      </c>
      <c r="U469" t="s">
        <v>7448</v>
      </c>
      <c r="V469" t="s">
        <v>7449</v>
      </c>
      <c r="W469" t="s">
        <v>7450</v>
      </c>
      <c r="X469" t="s">
        <v>7451</v>
      </c>
      <c r="Y469" t="s">
        <v>7452</v>
      </c>
      <c r="Z469" t="s">
        <v>7453</v>
      </c>
      <c r="AA469" t="s">
        <v>7454</v>
      </c>
      <c r="AB469" t="s">
        <v>7455</v>
      </c>
      <c r="AC469" t="s">
        <v>74</v>
      </c>
      <c r="AD469" t="s">
        <v>74</v>
      </c>
      <c r="AE469" t="s">
        <v>74</v>
      </c>
      <c r="AF469" t="s">
        <v>74</v>
      </c>
      <c r="AG469">
        <v>26</v>
      </c>
      <c r="AH469">
        <v>12</v>
      </c>
      <c r="AI469">
        <v>13</v>
      </c>
      <c r="AJ469">
        <v>0</v>
      </c>
      <c r="AK469">
        <v>0</v>
      </c>
      <c r="AL469" t="s">
        <v>1139</v>
      </c>
      <c r="AM469" t="s">
        <v>476</v>
      </c>
      <c r="AN469" t="s">
        <v>1140</v>
      </c>
      <c r="AO469" t="s">
        <v>7456</v>
      </c>
      <c r="AP469" t="s">
        <v>7457</v>
      </c>
      <c r="AQ469" t="s">
        <v>74</v>
      </c>
      <c r="AR469" t="s">
        <v>7446</v>
      </c>
      <c r="AS469" t="s">
        <v>7458</v>
      </c>
      <c r="AT469" t="s">
        <v>6392</v>
      </c>
      <c r="AU469">
        <v>2006</v>
      </c>
      <c r="AV469">
        <v>14</v>
      </c>
      <c r="AW469">
        <v>2</v>
      </c>
      <c r="AX469" t="s">
        <v>74</v>
      </c>
      <c r="AY469" t="s">
        <v>74</v>
      </c>
      <c r="AZ469" t="s">
        <v>74</v>
      </c>
      <c r="BA469" t="s">
        <v>74</v>
      </c>
      <c r="BB469">
        <v>89</v>
      </c>
      <c r="BC469">
        <v>95</v>
      </c>
      <c r="BD469" t="s">
        <v>74</v>
      </c>
      <c r="BE469" t="s">
        <v>7459</v>
      </c>
      <c r="BF469" t="str">
        <f>HYPERLINK("http://dx.doi.org/10.1017/S0967199406003601","http://dx.doi.org/10.1017/S0967199406003601")</f>
        <v>http://dx.doi.org/10.1017/S0967199406003601</v>
      </c>
      <c r="BG469" t="s">
        <v>74</v>
      </c>
      <c r="BH469" t="s">
        <v>74</v>
      </c>
      <c r="BI469">
        <v>7</v>
      </c>
      <c r="BJ469" t="s">
        <v>7460</v>
      </c>
      <c r="BK469" t="s">
        <v>97</v>
      </c>
      <c r="BL469" t="s">
        <v>7460</v>
      </c>
      <c r="BM469" t="s">
        <v>7461</v>
      </c>
      <c r="BN469">
        <v>16719944</v>
      </c>
      <c r="BO469" t="s">
        <v>74</v>
      </c>
      <c r="BP469" t="s">
        <v>74</v>
      </c>
      <c r="BQ469" t="s">
        <v>74</v>
      </c>
      <c r="BR469" t="s">
        <v>100</v>
      </c>
      <c r="BS469" t="s">
        <v>7462</v>
      </c>
      <c r="BT469" t="str">
        <f>HYPERLINK("https%3A%2F%2Fwww.webofscience.com%2Fwos%2Fwoscc%2Ffull-record%2FWOS:000238212900001","View Full Record in Web of Science")</f>
        <v>View Full Record in Web of Science</v>
      </c>
    </row>
    <row r="470" spans="1:72" x14ac:dyDescent="0.15">
      <c r="A470" t="s">
        <v>72</v>
      </c>
      <c r="B470" t="s">
        <v>7463</v>
      </c>
      <c r="C470" t="s">
        <v>74</v>
      </c>
      <c r="D470" t="s">
        <v>74</v>
      </c>
      <c r="E470" t="s">
        <v>74</v>
      </c>
      <c r="F470" t="s">
        <v>7463</v>
      </c>
      <c r="G470" t="s">
        <v>74</v>
      </c>
      <c r="H470" t="s">
        <v>74</v>
      </c>
      <c r="I470" t="s">
        <v>7464</v>
      </c>
      <c r="J470" t="s">
        <v>3745</v>
      </c>
      <c r="K470" t="s">
        <v>74</v>
      </c>
      <c r="L470" t="s">
        <v>74</v>
      </c>
      <c r="M470" t="s">
        <v>78</v>
      </c>
      <c r="N470" t="s">
        <v>79</v>
      </c>
      <c r="O470" t="s">
        <v>74</v>
      </c>
      <c r="P470" t="s">
        <v>74</v>
      </c>
      <c r="Q470" t="s">
        <v>74</v>
      </c>
      <c r="R470" t="s">
        <v>74</v>
      </c>
      <c r="S470" t="s">
        <v>74</v>
      </c>
      <c r="T470" t="s">
        <v>7465</v>
      </c>
      <c r="U470" t="s">
        <v>7466</v>
      </c>
      <c r="V470" t="s">
        <v>7467</v>
      </c>
      <c r="W470" t="s">
        <v>7468</v>
      </c>
      <c r="X470" t="s">
        <v>7469</v>
      </c>
      <c r="Y470" t="s">
        <v>7470</v>
      </c>
      <c r="Z470" t="s">
        <v>7471</v>
      </c>
      <c r="AA470" t="s">
        <v>7472</v>
      </c>
      <c r="AB470" t="s">
        <v>7473</v>
      </c>
      <c r="AC470" t="s">
        <v>74</v>
      </c>
      <c r="AD470" t="s">
        <v>74</v>
      </c>
      <c r="AE470" t="s">
        <v>74</v>
      </c>
      <c r="AF470" t="s">
        <v>74</v>
      </c>
      <c r="AG470">
        <v>56</v>
      </c>
      <c r="AH470">
        <v>33</v>
      </c>
      <c r="AI470">
        <v>37</v>
      </c>
      <c r="AJ470">
        <v>3</v>
      </c>
      <c r="AK470">
        <v>26</v>
      </c>
      <c r="AL470" t="s">
        <v>1261</v>
      </c>
      <c r="AM470" t="s">
        <v>520</v>
      </c>
      <c r="AN470" t="s">
        <v>1262</v>
      </c>
      <c r="AO470" t="s">
        <v>3753</v>
      </c>
      <c r="AP470" t="s">
        <v>3754</v>
      </c>
      <c r="AQ470" t="s">
        <v>74</v>
      </c>
      <c r="AR470" t="s">
        <v>3755</v>
      </c>
      <c r="AS470" t="s">
        <v>3756</v>
      </c>
      <c r="AT470" t="s">
        <v>7474</v>
      </c>
      <c r="AU470">
        <v>2006</v>
      </c>
      <c r="AV470">
        <v>244</v>
      </c>
      <c r="AW470" t="s">
        <v>1243</v>
      </c>
      <c r="AX470" t="s">
        <v>74</v>
      </c>
      <c r="AY470" t="s">
        <v>74</v>
      </c>
      <c r="AZ470" t="s">
        <v>74</v>
      </c>
      <c r="BA470" t="s">
        <v>74</v>
      </c>
      <c r="BB470">
        <v>501</v>
      </c>
      <c r="BC470">
        <v>514</v>
      </c>
      <c r="BD470" t="s">
        <v>74</v>
      </c>
      <c r="BE470" t="s">
        <v>7475</v>
      </c>
      <c r="BF470" t="str">
        <f>HYPERLINK("http://dx.doi.org/10.1016/j.epsl.2006.02.033","http://dx.doi.org/10.1016/j.epsl.2006.02.033")</f>
        <v>http://dx.doi.org/10.1016/j.epsl.2006.02.033</v>
      </c>
      <c r="BG470" t="s">
        <v>74</v>
      </c>
      <c r="BH470" t="s">
        <v>74</v>
      </c>
      <c r="BI470">
        <v>14</v>
      </c>
      <c r="BJ470" t="s">
        <v>608</v>
      </c>
      <c r="BK470" t="s">
        <v>97</v>
      </c>
      <c r="BL470" t="s">
        <v>608</v>
      </c>
      <c r="BM470" t="s">
        <v>7476</v>
      </c>
      <c r="BN470" t="s">
        <v>74</v>
      </c>
      <c r="BO470" t="s">
        <v>74</v>
      </c>
      <c r="BP470" t="s">
        <v>74</v>
      </c>
      <c r="BQ470" t="s">
        <v>74</v>
      </c>
      <c r="BR470" t="s">
        <v>100</v>
      </c>
      <c r="BS470" t="s">
        <v>7477</v>
      </c>
      <c r="BT470" t="str">
        <f>HYPERLINK("https%3A%2F%2Fwww.webofscience.com%2Fwos%2Fwoscc%2Ffull-record%2FWOS:000237378900001","View Full Record in Web of Science")</f>
        <v>View Full Record in Web of Science</v>
      </c>
    </row>
    <row r="471" spans="1:72" x14ac:dyDescent="0.15">
      <c r="A471" t="s">
        <v>72</v>
      </c>
      <c r="B471" t="s">
        <v>7478</v>
      </c>
      <c r="C471" t="s">
        <v>74</v>
      </c>
      <c r="D471" t="s">
        <v>74</v>
      </c>
      <c r="E471" t="s">
        <v>74</v>
      </c>
      <c r="F471" t="s">
        <v>7478</v>
      </c>
      <c r="G471" t="s">
        <v>74</v>
      </c>
      <c r="H471" t="s">
        <v>74</v>
      </c>
      <c r="I471" t="s">
        <v>7479</v>
      </c>
      <c r="J471" t="s">
        <v>3745</v>
      </c>
      <c r="K471" t="s">
        <v>74</v>
      </c>
      <c r="L471" t="s">
        <v>74</v>
      </c>
      <c r="M471" t="s">
        <v>78</v>
      </c>
      <c r="N471" t="s">
        <v>79</v>
      </c>
      <c r="O471" t="s">
        <v>74</v>
      </c>
      <c r="P471" t="s">
        <v>74</v>
      </c>
      <c r="Q471" t="s">
        <v>74</v>
      </c>
      <c r="R471" t="s">
        <v>74</v>
      </c>
      <c r="S471" t="s">
        <v>74</v>
      </c>
      <c r="T471" t="s">
        <v>7480</v>
      </c>
      <c r="U471" t="s">
        <v>7481</v>
      </c>
      <c r="V471" t="s">
        <v>7482</v>
      </c>
      <c r="W471" t="s">
        <v>7483</v>
      </c>
      <c r="X471" t="s">
        <v>7484</v>
      </c>
      <c r="Y471" t="s">
        <v>7485</v>
      </c>
      <c r="Z471" t="s">
        <v>7486</v>
      </c>
      <c r="AA471" t="s">
        <v>7487</v>
      </c>
      <c r="AB471" t="s">
        <v>7488</v>
      </c>
      <c r="AC471" t="s">
        <v>74</v>
      </c>
      <c r="AD471" t="s">
        <v>74</v>
      </c>
      <c r="AE471" t="s">
        <v>74</v>
      </c>
      <c r="AF471" t="s">
        <v>74</v>
      </c>
      <c r="AG471">
        <v>14</v>
      </c>
      <c r="AH471">
        <v>37</v>
      </c>
      <c r="AI471">
        <v>39</v>
      </c>
      <c r="AJ471">
        <v>0</v>
      </c>
      <c r="AK471">
        <v>16</v>
      </c>
      <c r="AL471" t="s">
        <v>1261</v>
      </c>
      <c r="AM471" t="s">
        <v>520</v>
      </c>
      <c r="AN471" t="s">
        <v>1262</v>
      </c>
      <c r="AO471" t="s">
        <v>3753</v>
      </c>
      <c r="AP471" t="s">
        <v>3754</v>
      </c>
      <c r="AQ471" t="s">
        <v>74</v>
      </c>
      <c r="AR471" t="s">
        <v>3755</v>
      </c>
      <c r="AS471" t="s">
        <v>3756</v>
      </c>
      <c r="AT471" t="s">
        <v>7474</v>
      </c>
      <c r="AU471">
        <v>2006</v>
      </c>
      <c r="AV471">
        <v>244</v>
      </c>
      <c r="AW471" t="s">
        <v>1243</v>
      </c>
      <c r="AX471" t="s">
        <v>74</v>
      </c>
      <c r="AY471" t="s">
        <v>74</v>
      </c>
      <c r="AZ471" t="s">
        <v>74</v>
      </c>
      <c r="BA471" t="s">
        <v>74</v>
      </c>
      <c r="BB471">
        <v>735</v>
      </c>
      <c r="BC471">
        <v>743</v>
      </c>
      <c r="BD471" t="s">
        <v>74</v>
      </c>
      <c r="BE471" t="s">
        <v>7489</v>
      </c>
      <c r="BF471" t="str">
        <f>HYPERLINK("http://dx.doi.org/10.1016/j.epsl.2006.01.067","http://dx.doi.org/10.1016/j.epsl.2006.01.067")</f>
        <v>http://dx.doi.org/10.1016/j.epsl.2006.01.067</v>
      </c>
      <c r="BG471" t="s">
        <v>74</v>
      </c>
      <c r="BH471" t="s">
        <v>74</v>
      </c>
      <c r="BI471">
        <v>9</v>
      </c>
      <c r="BJ471" t="s">
        <v>608</v>
      </c>
      <c r="BK471" t="s">
        <v>97</v>
      </c>
      <c r="BL471" t="s">
        <v>608</v>
      </c>
      <c r="BM471" t="s">
        <v>7476</v>
      </c>
      <c r="BN471" t="s">
        <v>74</v>
      </c>
      <c r="BO471" t="s">
        <v>74</v>
      </c>
      <c r="BP471" t="s">
        <v>74</v>
      </c>
      <c r="BQ471" t="s">
        <v>74</v>
      </c>
      <c r="BR471" t="s">
        <v>100</v>
      </c>
      <c r="BS471" t="s">
        <v>7490</v>
      </c>
      <c r="BT471" t="str">
        <f>HYPERLINK("https%3A%2F%2Fwww.webofscience.com%2Fwos%2Fwoscc%2Ffull-record%2FWOS:000237378900018","View Full Record in Web of Science")</f>
        <v>View Full Record in Web of Science</v>
      </c>
    </row>
    <row r="472" spans="1:72" x14ac:dyDescent="0.15">
      <c r="A472" t="s">
        <v>72</v>
      </c>
      <c r="B472" t="s">
        <v>7491</v>
      </c>
      <c r="C472" t="s">
        <v>74</v>
      </c>
      <c r="D472" t="s">
        <v>74</v>
      </c>
      <c r="E472" t="s">
        <v>74</v>
      </c>
      <c r="F472" t="s">
        <v>7491</v>
      </c>
      <c r="G472" t="s">
        <v>74</v>
      </c>
      <c r="H472" t="s">
        <v>74</v>
      </c>
      <c r="I472" t="s">
        <v>7492</v>
      </c>
      <c r="J472" t="s">
        <v>3808</v>
      </c>
      <c r="K472" t="s">
        <v>74</v>
      </c>
      <c r="L472" t="s">
        <v>74</v>
      </c>
      <c r="M472" t="s">
        <v>78</v>
      </c>
      <c r="N472" t="s">
        <v>79</v>
      </c>
      <c r="O472" t="s">
        <v>74</v>
      </c>
      <c r="P472" t="s">
        <v>74</v>
      </c>
      <c r="Q472" t="s">
        <v>74</v>
      </c>
      <c r="R472" t="s">
        <v>74</v>
      </c>
      <c r="S472" t="s">
        <v>74</v>
      </c>
      <c r="T472" t="s">
        <v>7493</v>
      </c>
      <c r="U472" t="s">
        <v>7494</v>
      </c>
      <c r="V472" t="s">
        <v>7495</v>
      </c>
      <c r="W472" t="s">
        <v>7496</v>
      </c>
      <c r="X472" t="s">
        <v>7497</v>
      </c>
      <c r="Y472" t="s">
        <v>7498</v>
      </c>
      <c r="Z472" t="s">
        <v>7499</v>
      </c>
      <c r="AA472" t="s">
        <v>7500</v>
      </c>
      <c r="AB472" t="s">
        <v>7501</v>
      </c>
      <c r="AC472" t="s">
        <v>7502</v>
      </c>
      <c r="AD472" t="s">
        <v>1328</v>
      </c>
      <c r="AE472" t="s">
        <v>74</v>
      </c>
      <c r="AF472" t="s">
        <v>74</v>
      </c>
      <c r="AG472">
        <v>88</v>
      </c>
      <c r="AH472">
        <v>88</v>
      </c>
      <c r="AI472">
        <v>100</v>
      </c>
      <c r="AJ472">
        <v>1</v>
      </c>
      <c r="AK472">
        <v>9</v>
      </c>
      <c r="AL472" t="s">
        <v>519</v>
      </c>
      <c r="AM472" t="s">
        <v>520</v>
      </c>
      <c r="AN472" t="s">
        <v>521</v>
      </c>
      <c r="AO472" t="s">
        <v>3816</v>
      </c>
      <c r="AP472" t="s">
        <v>3817</v>
      </c>
      <c r="AQ472" t="s">
        <v>74</v>
      </c>
      <c r="AR472" t="s">
        <v>3818</v>
      </c>
      <c r="AS472" t="s">
        <v>3819</v>
      </c>
      <c r="AT472" t="s">
        <v>7474</v>
      </c>
      <c r="AU472">
        <v>2006</v>
      </c>
      <c r="AV472">
        <v>228</v>
      </c>
      <c r="AW472" t="s">
        <v>7503</v>
      </c>
      <c r="AX472" t="s">
        <v>74</v>
      </c>
      <c r="AY472" t="s">
        <v>74</v>
      </c>
      <c r="AZ472" t="s">
        <v>74</v>
      </c>
      <c r="BA472" t="s">
        <v>74</v>
      </c>
      <c r="BB472">
        <v>93</v>
      </c>
      <c r="BC472" t="s">
        <v>7504</v>
      </c>
      <c r="BD472" t="s">
        <v>74</v>
      </c>
      <c r="BE472" t="s">
        <v>7505</v>
      </c>
      <c r="BF472" t="str">
        <f>HYPERLINK("http://dx.doi.org/10.1016/j.margeo.2005.12.010","http://dx.doi.org/10.1016/j.margeo.2005.12.010")</f>
        <v>http://dx.doi.org/10.1016/j.margeo.2005.12.010</v>
      </c>
      <c r="BG472" t="s">
        <v>74</v>
      </c>
      <c r="BH472" t="s">
        <v>74</v>
      </c>
      <c r="BI472">
        <v>22</v>
      </c>
      <c r="BJ472" t="s">
        <v>3821</v>
      </c>
      <c r="BK472" t="s">
        <v>97</v>
      </c>
      <c r="BL472" t="s">
        <v>3822</v>
      </c>
      <c r="BM472" t="s">
        <v>7506</v>
      </c>
      <c r="BN472" t="s">
        <v>74</v>
      </c>
      <c r="BO472" t="s">
        <v>74</v>
      </c>
      <c r="BP472" t="s">
        <v>74</v>
      </c>
      <c r="BQ472" t="s">
        <v>74</v>
      </c>
      <c r="BR472" t="s">
        <v>100</v>
      </c>
      <c r="BS472" t="s">
        <v>7507</v>
      </c>
      <c r="BT472" t="str">
        <f>HYPERLINK("https%3A%2F%2Fwww.webofscience.com%2Fwos%2Fwoscc%2Ffull-record%2FWOS:000237169000007","View Full Record in Web of Science")</f>
        <v>View Full Record in Web of Science</v>
      </c>
    </row>
    <row r="473" spans="1:72" x14ac:dyDescent="0.15">
      <c r="A473" t="s">
        <v>72</v>
      </c>
      <c r="B473" t="s">
        <v>7508</v>
      </c>
      <c r="C473" t="s">
        <v>74</v>
      </c>
      <c r="D473" t="s">
        <v>74</v>
      </c>
      <c r="E473" t="s">
        <v>74</v>
      </c>
      <c r="F473" t="s">
        <v>7508</v>
      </c>
      <c r="G473" t="s">
        <v>74</v>
      </c>
      <c r="H473" t="s">
        <v>74</v>
      </c>
      <c r="I473" t="s">
        <v>7509</v>
      </c>
      <c r="J473" t="s">
        <v>1748</v>
      </c>
      <c r="K473" t="s">
        <v>74</v>
      </c>
      <c r="L473" t="s">
        <v>74</v>
      </c>
      <c r="M473" t="s">
        <v>78</v>
      </c>
      <c r="N473" t="s">
        <v>79</v>
      </c>
      <c r="O473" t="s">
        <v>74</v>
      </c>
      <c r="P473" t="s">
        <v>74</v>
      </c>
      <c r="Q473" t="s">
        <v>74</v>
      </c>
      <c r="R473" t="s">
        <v>74</v>
      </c>
      <c r="S473" t="s">
        <v>74</v>
      </c>
      <c r="T473" t="s">
        <v>74</v>
      </c>
      <c r="U473" t="s">
        <v>7510</v>
      </c>
      <c r="V473" t="s">
        <v>7511</v>
      </c>
      <c r="W473" t="s">
        <v>7512</v>
      </c>
      <c r="X473" t="s">
        <v>7513</v>
      </c>
      <c r="Y473" t="s">
        <v>7514</v>
      </c>
      <c r="Z473" t="s">
        <v>7515</v>
      </c>
      <c r="AA473" t="s">
        <v>7516</v>
      </c>
      <c r="AB473" t="s">
        <v>7517</v>
      </c>
      <c r="AC473" t="s">
        <v>7518</v>
      </c>
      <c r="AD473" t="s">
        <v>413</v>
      </c>
      <c r="AE473" t="s">
        <v>74</v>
      </c>
      <c r="AF473" t="s">
        <v>74</v>
      </c>
      <c r="AG473">
        <v>20</v>
      </c>
      <c r="AH473">
        <v>97</v>
      </c>
      <c r="AI473">
        <v>109</v>
      </c>
      <c r="AJ473">
        <v>0</v>
      </c>
      <c r="AK473">
        <v>18</v>
      </c>
      <c r="AL473" t="s">
        <v>1757</v>
      </c>
      <c r="AM473" t="s">
        <v>88</v>
      </c>
      <c r="AN473" t="s">
        <v>1758</v>
      </c>
      <c r="AO473" t="s">
        <v>1759</v>
      </c>
      <c r="AP473" t="s">
        <v>1760</v>
      </c>
      <c r="AQ473" t="s">
        <v>74</v>
      </c>
      <c r="AR473" t="s">
        <v>1761</v>
      </c>
      <c r="AS473" t="s">
        <v>1762</v>
      </c>
      <c r="AT473" t="s">
        <v>7519</v>
      </c>
      <c r="AU473">
        <v>2006</v>
      </c>
      <c r="AV473">
        <v>33</v>
      </c>
      <c r="AW473">
        <v>8</v>
      </c>
      <c r="AX473" t="s">
        <v>74</v>
      </c>
      <c r="AY473" t="s">
        <v>74</v>
      </c>
      <c r="AZ473" t="s">
        <v>74</v>
      </c>
      <c r="BA473" t="s">
        <v>74</v>
      </c>
      <c r="BB473" t="s">
        <v>74</v>
      </c>
      <c r="BC473" t="s">
        <v>74</v>
      </c>
      <c r="BD473" t="s">
        <v>7520</v>
      </c>
      <c r="BE473" t="s">
        <v>7521</v>
      </c>
      <c r="BF473" t="str">
        <f>HYPERLINK("http://dx.doi.org/10.1029/2006GL025998","http://dx.doi.org/10.1029/2006GL025998")</f>
        <v>http://dx.doi.org/10.1029/2006GL025998</v>
      </c>
      <c r="BG473" t="s">
        <v>74</v>
      </c>
      <c r="BH473" t="s">
        <v>74</v>
      </c>
      <c r="BI473">
        <v>4</v>
      </c>
      <c r="BJ473" t="s">
        <v>527</v>
      </c>
      <c r="BK473" t="s">
        <v>97</v>
      </c>
      <c r="BL473" t="s">
        <v>528</v>
      </c>
      <c r="BM473" t="s">
        <v>7522</v>
      </c>
      <c r="BN473" t="s">
        <v>74</v>
      </c>
      <c r="BO473" t="s">
        <v>5895</v>
      </c>
      <c r="BP473" t="s">
        <v>74</v>
      </c>
      <c r="BQ473" t="s">
        <v>74</v>
      </c>
      <c r="BR473" t="s">
        <v>100</v>
      </c>
      <c r="BS473" t="s">
        <v>7523</v>
      </c>
      <c r="BT473" t="str">
        <f>HYPERLINK("https%3A%2F%2Fwww.webofscience.com%2Fwos%2Fwoscc%2Ffull-record%2FWOS:000237411900006","View Full Record in Web of Science")</f>
        <v>View Full Record in Web of Science</v>
      </c>
    </row>
    <row r="474" spans="1:72" x14ac:dyDescent="0.15">
      <c r="A474" t="s">
        <v>72</v>
      </c>
      <c r="B474" t="s">
        <v>7524</v>
      </c>
      <c r="C474" t="s">
        <v>74</v>
      </c>
      <c r="D474" t="s">
        <v>74</v>
      </c>
      <c r="E474" t="s">
        <v>74</v>
      </c>
      <c r="F474" t="s">
        <v>7524</v>
      </c>
      <c r="G474" t="s">
        <v>74</v>
      </c>
      <c r="H474" t="s">
        <v>74</v>
      </c>
      <c r="I474" t="s">
        <v>7525</v>
      </c>
      <c r="J474" t="s">
        <v>1772</v>
      </c>
      <c r="K474" t="s">
        <v>74</v>
      </c>
      <c r="L474" t="s">
        <v>74</v>
      </c>
      <c r="M474" t="s">
        <v>78</v>
      </c>
      <c r="N474" t="s">
        <v>79</v>
      </c>
      <c r="O474" t="s">
        <v>74</v>
      </c>
      <c r="P474" t="s">
        <v>74</v>
      </c>
      <c r="Q474" t="s">
        <v>74</v>
      </c>
      <c r="R474" t="s">
        <v>74</v>
      </c>
      <c r="S474" t="s">
        <v>74</v>
      </c>
      <c r="T474" t="s">
        <v>74</v>
      </c>
      <c r="U474" t="s">
        <v>7526</v>
      </c>
      <c r="V474" t="s">
        <v>7527</v>
      </c>
      <c r="W474" t="s">
        <v>2646</v>
      </c>
      <c r="X474" t="s">
        <v>407</v>
      </c>
      <c r="Y474" t="s">
        <v>7528</v>
      </c>
      <c r="Z474" t="s">
        <v>7529</v>
      </c>
      <c r="AA474" t="s">
        <v>7530</v>
      </c>
      <c r="AB474" t="s">
        <v>7531</v>
      </c>
      <c r="AC474" t="s">
        <v>579</v>
      </c>
      <c r="AD474" t="s">
        <v>413</v>
      </c>
      <c r="AE474" t="s">
        <v>74</v>
      </c>
      <c r="AF474" t="s">
        <v>74</v>
      </c>
      <c r="AG474">
        <v>22</v>
      </c>
      <c r="AH474">
        <v>41</v>
      </c>
      <c r="AI474">
        <v>48</v>
      </c>
      <c r="AJ474">
        <v>0</v>
      </c>
      <c r="AK474">
        <v>11</v>
      </c>
      <c r="AL474" t="s">
        <v>1757</v>
      </c>
      <c r="AM474" t="s">
        <v>88</v>
      </c>
      <c r="AN474" t="s">
        <v>1758</v>
      </c>
      <c r="AO474" t="s">
        <v>1779</v>
      </c>
      <c r="AP474" t="s">
        <v>1780</v>
      </c>
      <c r="AQ474" t="s">
        <v>74</v>
      </c>
      <c r="AR474" t="s">
        <v>1781</v>
      </c>
      <c r="AS474" t="s">
        <v>1782</v>
      </c>
      <c r="AT474" t="s">
        <v>7519</v>
      </c>
      <c r="AU474">
        <v>2006</v>
      </c>
      <c r="AV474">
        <v>111</v>
      </c>
      <c r="AW474" t="s">
        <v>7532</v>
      </c>
      <c r="AX474" t="s">
        <v>74</v>
      </c>
      <c r="AY474" t="s">
        <v>74</v>
      </c>
      <c r="AZ474" t="s">
        <v>74</v>
      </c>
      <c r="BA474" t="s">
        <v>74</v>
      </c>
      <c r="BB474" t="s">
        <v>74</v>
      </c>
      <c r="BC474" t="s">
        <v>74</v>
      </c>
      <c r="BD474" t="s">
        <v>7533</v>
      </c>
      <c r="BE474" t="s">
        <v>7534</v>
      </c>
      <c r="BF474" t="str">
        <f>HYPERLINK("http://dx.doi.org/10.1029/2005JD006566","http://dx.doi.org/10.1029/2005JD006566")</f>
        <v>http://dx.doi.org/10.1029/2005JD006566</v>
      </c>
      <c r="BG474" t="s">
        <v>74</v>
      </c>
      <c r="BH474" t="s">
        <v>74</v>
      </c>
      <c r="BI474">
        <v>11</v>
      </c>
      <c r="BJ474" t="s">
        <v>869</v>
      </c>
      <c r="BK474" t="s">
        <v>97</v>
      </c>
      <c r="BL474" t="s">
        <v>869</v>
      </c>
      <c r="BM474" t="s">
        <v>7535</v>
      </c>
      <c r="BN474" t="s">
        <v>74</v>
      </c>
      <c r="BO474" t="s">
        <v>74</v>
      </c>
      <c r="BP474" t="s">
        <v>74</v>
      </c>
      <c r="BQ474" t="s">
        <v>74</v>
      </c>
      <c r="BR474" t="s">
        <v>100</v>
      </c>
      <c r="BS474" t="s">
        <v>7536</v>
      </c>
      <c r="BT474" t="str">
        <f>HYPERLINK("https%3A%2F%2Fwww.webofscience.com%2Fwos%2Fwoscc%2Ffull-record%2FWOS:000237412300003","View Full Record in Web of Science")</f>
        <v>View Full Record in Web of Science</v>
      </c>
    </row>
    <row r="475" spans="1:72" x14ac:dyDescent="0.15">
      <c r="A475" t="s">
        <v>72</v>
      </c>
      <c r="B475" t="s">
        <v>7537</v>
      </c>
      <c r="C475" t="s">
        <v>74</v>
      </c>
      <c r="D475" t="s">
        <v>74</v>
      </c>
      <c r="E475" t="s">
        <v>74</v>
      </c>
      <c r="F475" t="s">
        <v>7537</v>
      </c>
      <c r="G475" t="s">
        <v>74</v>
      </c>
      <c r="H475" t="s">
        <v>74</v>
      </c>
      <c r="I475" t="s">
        <v>7538</v>
      </c>
      <c r="J475" t="s">
        <v>1862</v>
      </c>
      <c r="K475" t="s">
        <v>74</v>
      </c>
      <c r="L475" t="s">
        <v>74</v>
      </c>
      <c r="M475" t="s">
        <v>78</v>
      </c>
      <c r="N475" t="s">
        <v>79</v>
      </c>
      <c r="O475" t="s">
        <v>74</v>
      </c>
      <c r="P475" t="s">
        <v>74</v>
      </c>
      <c r="Q475" t="s">
        <v>74</v>
      </c>
      <c r="R475" t="s">
        <v>74</v>
      </c>
      <c r="S475" t="s">
        <v>74</v>
      </c>
      <c r="T475" t="s">
        <v>74</v>
      </c>
      <c r="U475" t="s">
        <v>7539</v>
      </c>
      <c r="V475" t="s">
        <v>7540</v>
      </c>
      <c r="W475" t="s">
        <v>7541</v>
      </c>
      <c r="X475" t="s">
        <v>7542</v>
      </c>
      <c r="Y475" t="s">
        <v>7543</v>
      </c>
      <c r="Z475" t="s">
        <v>7544</v>
      </c>
      <c r="AA475" t="s">
        <v>7545</v>
      </c>
      <c r="AB475" t="s">
        <v>7546</v>
      </c>
      <c r="AC475" t="s">
        <v>2995</v>
      </c>
      <c r="AD475" t="s">
        <v>1328</v>
      </c>
      <c r="AE475" t="s">
        <v>74</v>
      </c>
      <c r="AF475" t="s">
        <v>74</v>
      </c>
      <c r="AG475">
        <v>49</v>
      </c>
      <c r="AH475">
        <v>46</v>
      </c>
      <c r="AI475">
        <v>47</v>
      </c>
      <c r="AJ475">
        <v>0</v>
      </c>
      <c r="AK475">
        <v>4</v>
      </c>
      <c r="AL475" t="s">
        <v>1757</v>
      </c>
      <c r="AM475" t="s">
        <v>88</v>
      </c>
      <c r="AN475" t="s">
        <v>1758</v>
      </c>
      <c r="AO475" t="s">
        <v>1871</v>
      </c>
      <c r="AP475" t="s">
        <v>1872</v>
      </c>
      <c r="AQ475" t="s">
        <v>74</v>
      </c>
      <c r="AR475" t="s">
        <v>1873</v>
      </c>
      <c r="AS475" t="s">
        <v>1874</v>
      </c>
      <c r="AT475" t="s">
        <v>7519</v>
      </c>
      <c r="AU475">
        <v>2006</v>
      </c>
      <c r="AV475">
        <v>111</v>
      </c>
      <c r="AW475" t="s">
        <v>7547</v>
      </c>
      <c r="AX475" t="s">
        <v>74</v>
      </c>
      <c r="AY475" t="s">
        <v>74</v>
      </c>
      <c r="AZ475" t="s">
        <v>74</v>
      </c>
      <c r="BA475" t="s">
        <v>74</v>
      </c>
      <c r="BB475" t="s">
        <v>74</v>
      </c>
      <c r="BC475" t="s">
        <v>74</v>
      </c>
      <c r="BD475" t="s">
        <v>7548</v>
      </c>
      <c r="BE475" t="s">
        <v>7549</v>
      </c>
      <c r="BF475" t="str">
        <f>HYPERLINK("http://dx.doi.org/10.1029/2005JA011395","http://dx.doi.org/10.1029/2005JA011395")</f>
        <v>http://dx.doi.org/10.1029/2005JA011395</v>
      </c>
      <c r="BG475" t="s">
        <v>74</v>
      </c>
      <c r="BH475" t="s">
        <v>74</v>
      </c>
      <c r="BI475">
        <v>12</v>
      </c>
      <c r="BJ475" t="s">
        <v>1637</v>
      </c>
      <c r="BK475" t="s">
        <v>97</v>
      </c>
      <c r="BL475" t="s">
        <v>1637</v>
      </c>
      <c r="BM475" t="s">
        <v>7550</v>
      </c>
      <c r="BN475" t="s">
        <v>74</v>
      </c>
      <c r="BO475" t="s">
        <v>227</v>
      </c>
      <c r="BP475" t="s">
        <v>74</v>
      </c>
      <c r="BQ475" t="s">
        <v>74</v>
      </c>
      <c r="BR475" t="s">
        <v>100</v>
      </c>
      <c r="BS475" t="s">
        <v>7551</v>
      </c>
      <c r="BT475" t="str">
        <f>HYPERLINK("https%3A%2F%2Fwww.webofscience.com%2Fwos%2Fwoscc%2Ffull-record%2FWOS:000237413600005","View Full Record in Web of Science")</f>
        <v>View Full Record in Web of Science</v>
      </c>
    </row>
    <row r="476" spans="1:72" x14ac:dyDescent="0.15">
      <c r="A476" t="s">
        <v>72</v>
      </c>
      <c r="B476" t="s">
        <v>7552</v>
      </c>
      <c r="C476" t="s">
        <v>74</v>
      </c>
      <c r="D476" t="s">
        <v>74</v>
      </c>
      <c r="E476" t="s">
        <v>74</v>
      </c>
      <c r="F476" t="s">
        <v>7552</v>
      </c>
      <c r="G476" t="s">
        <v>74</v>
      </c>
      <c r="H476" t="s">
        <v>74</v>
      </c>
      <c r="I476" t="s">
        <v>7553</v>
      </c>
      <c r="J476" t="s">
        <v>1772</v>
      </c>
      <c r="K476" t="s">
        <v>74</v>
      </c>
      <c r="L476" t="s">
        <v>74</v>
      </c>
      <c r="M476" t="s">
        <v>78</v>
      </c>
      <c r="N476" t="s">
        <v>79</v>
      </c>
      <c r="O476" t="s">
        <v>74</v>
      </c>
      <c r="P476" t="s">
        <v>74</v>
      </c>
      <c r="Q476" t="s">
        <v>74</v>
      </c>
      <c r="R476" t="s">
        <v>74</v>
      </c>
      <c r="S476" t="s">
        <v>74</v>
      </c>
      <c r="T476" t="s">
        <v>74</v>
      </c>
      <c r="U476" t="s">
        <v>7554</v>
      </c>
      <c r="V476" t="s">
        <v>7555</v>
      </c>
      <c r="W476" t="s">
        <v>7556</v>
      </c>
      <c r="X476" t="s">
        <v>7557</v>
      </c>
      <c r="Y476" t="s">
        <v>7558</v>
      </c>
      <c r="Z476" t="s">
        <v>7559</v>
      </c>
      <c r="AA476" t="s">
        <v>7560</v>
      </c>
      <c r="AB476" t="s">
        <v>7561</v>
      </c>
      <c r="AC476" t="s">
        <v>7562</v>
      </c>
      <c r="AD476" t="s">
        <v>1328</v>
      </c>
      <c r="AE476" t="s">
        <v>74</v>
      </c>
      <c r="AF476" t="s">
        <v>74</v>
      </c>
      <c r="AG476">
        <v>53</v>
      </c>
      <c r="AH476">
        <v>46</v>
      </c>
      <c r="AI476">
        <v>49</v>
      </c>
      <c r="AJ476">
        <v>1</v>
      </c>
      <c r="AK476">
        <v>6</v>
      </c>
      <c r="AL476" t="s">
        <v>1757</v>
      </c>
      <c r="AM476" t="s">
        <v>88</v>
      </c>
      <c r="AN476" t="s">
        <v>1758</v>
      </c>
      <c r="AO476" t="s">
        <v>1779</v>
      </c>
      <c r="AP476" t="s">
        <v>1780</v>
      </c>
      <c r="AQ476" t="s">
        <v>74</v>
      </c>
      <c r="AR476" t="s">
        <v>1781</v>
      </c>
      <c r="AS476" t="s">
        <v>1782</v>
      </c>
      <c r="AT476" t="s">
        <v>7563</v>
      </c>
      <c r="AU476">
        <v>2006</v>
      </c>
      <c r="AV476">
        <v>111</v>
      </c>
      <c r="AW476" t="s">
        <v>7532</v>
      </c>
      <c r="AX476" t="s">
        <v>74</v>
      </c>
      <c r="AY476" t="s">
        <v>74</v>
      </c>
      <c r="AZ476" t="s">
        <v>74</v>
      </c>
      <c r="BA476" t="s">
        <v>74</v>
      </c>
      <c r="BB476" t="s">
        <v>74</v>
      </c>
      <c r="BC476" t="s">
        <v>74</v>
      </c>
      <c r="BD476" t="s">
        <v>7564</v>
      </c>
      <c r="BE476" t="s">
        <v>7565</v>
      </c>
      <c r="BF476" t="str">
        <f>HYPERLINK("http://dx.doi.org/10.1029/2005JD006469","http://dx.doi.org/10.1029/2005JD006469")</f>
        <v>http://dx.doi.org/10.1029/2005JD006469</v>
      </c>
      <c r="BG476" t="s">
        <v>74</v>
      </c>
      <c r="BH476" t="s">
        <v>74</v>
      </c>
      <c r="BI476">
        <v>14</v>
      </c>
      <c r="BJ476" t="s">
        <v>869</v>
      </c>
      <c r="BK476" t="s">
        <v>97</v>
      </c>
      <c r="BL476" t="s">
        <v>869</v>
      </c>
      <c r="BM476" t="s">
        <v>7566</v>
      </c>
      <c r="BN476" t="s">
        <v>74</v>
      </c>
      <c r="BO476" t="s">
        <v>99</v>
      </c>
      <c r="BP476" t="s">
        <v>74</v>
      </c>
      <c r="BQ476" t="s">
        <v>74</v>
      </c>
      <c r="BR476" t="s">
        <v>100</v>
      </c>
      <c r="BS476" t="s">
        <v>7567</v>
      </c>
      <c r="BT476" t="str">
        <f>HYPERLINK("https%3A%2F%2Fwww.webofscience.com%2Fwos%2Fwoscc%2Ffull-record%2FWOS:000237412200002","View Full Record in Web of Science")</f>
        <v>View Full Record in Web of Science</v>
      </c>
    </row>
    <row r="477" spans="1:72" x14ac:dyDescent="0.15">
      <c r="A477" t="s">
        <v>72</v>
      </c>
      <c r="B477" t="s">
        <v>7568</v>
      </c>
      <c r="C477" t="s">
        <v>74</v>
      </c>
      <c r="D477" t="s">
        <v>74</v>
      </c>
      <c r="E477" t="s">
        <v>74</v>
      </c>
      <c r="F477" t="s">
        <v>7568</v>
      </c>
      <c r="G477" t="s">
        <v>74</v>
      </c>
      <c r="H477" t="s">
        <v>74</v>
      </c>
      <c r="I477" t="s">
        <v>7569</v>
      </c>
      <c r="J477" t="s">
        <v>1943</v>
      </c>
      <c r="K477" t="s">
        <v>74</v>
      </c>
      <c r="L477" t="s">
        <v>74</v>
      </c>
      <c r="M477" t="s">
        <v>78</v>
      </c>
      <c r="N477" t="s">
        <v>79</v>
      </c>
      <c r="O477" t="s">
        <v>74</v>
      </c>
      <c r="P477" t="s">
        <v>74</v>
      </c>
      <c r="Q477" t="s">
        <v>74</v>
      </c>
      <c r="R477" t="s">
        <v>74</v>
      </c>
      <c r="S477" t="s">
        <v>74</v>
      </c>
      <c r="T477" t="s">
        <v>74</v>
      </c>
      <c r="U477" t="s">
        <v>7570</v>
      </c>
      <c r="V477" t="s">
        <v>7571</v>
      </c>
      <c r="W477" t="s">
        <v>7572</v>
      </c>
      <c r="X477" t="s">
        <v>7573</v>
      </c>
      <c r="Y477" t="s">
        <v>7574</v>
      </c>
      <c r="Z477" t="s">
        <v>7575</v>
      </c>
      <c r="AA477" t="s">
        <v>7576</v>
      </c>
      <c r="AB477" t="s">
        <v>7577</v>
      </c>
      <c r="AC477" t="s">
        <v>74</v>
      </c>
      <c r="AD477" t="s">
        <v>74</v>
      </c>
      <c r="AE477" t="s">
        <v>74</v>
      </c>
      <c r="AF477" t="s">
        <v>74</v>
      </c>
      <c r="AG477">
        <v>84</v>
      </c>
      <c r="AH477">
        <v>639</v>
      </c>
      <c r="AI477">
        <v>715</v>
      </c>
      <c r="AJ477">
        <v>3</v>
      </c>
      <c r="AK477">
        <v>116</v>
      </c>
      <c r="AL477" t="s">
        <v>1757</v>
      </c>
      <c r="AM477" t="s">
        <v>88</v>
      </c>
      <c r="AN477" t="s">
        <v>1758</v>
      </c>
      <c r="AO477" t="s">
        <v>1950</v>
      </c>
      <c r="AP477" t="s">
        <v>1951</v>
      </c>
      <c r="AQ477" t="s">
        <v>74</v>
      </c>
      <c r="AR477" t="s">
        <v>1943</v>
      </c>
      <c r="AS477" t="s">
        <v>1952</v>
      </c>
      <c r="AT477" t="s">
        <v>7578</v>
      </c>
      <c r="AU477">
        <v>2006</v>
      </c>
      <c r="AV477">
        <v>21</v>
      </c>
      <c r="AW477">
        <v>2</v>
      </c>
      <c r="AX477" t="s">
        <v>74</v>
      </c>
      <c r="AY477" t="s">
        <v>74</v>
      </c>
      <c r="AZ477" t="s">
        <v>74</v>
      </c>
      <c r="BA477" t="s">
        <v>74</v>
      </c>
      <c r="BB477" t="s">
        <v>74</v>
      </c>
      <c r="BC477" t="s">
        <v>74</v>
      </c>
      <c r="BD477" t="s">
        <v>7579</v>
      </c>
      <c r="BE477" t="s">
        <v>7580</v>
      </c>
      <c r="BF477" t="str">
        <f>HYPERLINK("http://dx.doi.org/10.1029/2005PA001154","http://dx.doi.org/10.1029/2005PA001154")</f>
        <v>http://dx.doi.org/10.1029/2005PA001154</v>
      </c>
      <c r="BG477" t="s">
        <v>74</v>
      </c>
      <c r="BH477" t="s">
        <v>74</v>
      </c>
      <c r="BI477">
        <v>15</v>
      </c>
      <c r="BJ477" t="s">
        <v>1955</v>
      </c>
      <c r="BK477" t="s">
        <v>97</v>
      </c>
      <c r="BL477" t="s">
        <v>1956</v>
      </c>
      <c r="BM477" t="s">
        <v>7581</v>
      </c>
      <c r="BN477" t="s">
        <v>74</v>
      </c>
      <c r="BO477" t="s">
        <v>460</v>
      </c>
      <c r="BP477" t="s">
        <v>74</v>
      </c>
      <c r="BQ477" t="s">
        <v>74</v>
      </c>
      <c r="BR477" t="s">
        <v>100</v>
      </c>
      <c r="BS477" t="s">
        <v>7582</v>
      </c>
      <c r="BT477" t="str">
        <f>HYPERLINK("https%3A%2F%2Fwww.webofscience.com%2Fwos%2Fwoscc%2Ffull-record%2FWOS:000237413700001","View Full Record in Web of Science")</f>
        <v>View Full Record in Web of Science</v>
      </c>
    </row>
    <row r="478" spans="1:72" x14ac:dyDescent="0.15">
      <c r="A478" t="s">
        <v>72</v>
      </c>
      <c r="B478" t="s">
        <v>7583</v>
      </c>
      <c r="C478" t="s">
        <v>74</v>
      </c>
      <c r="D478" t="s">
        <v>74</v>
      </c>
      <c r="E478" t="s">
        <v>74</v>
      </c>
      <c r="F478" t="s">
        <v>7583</v>
      </c>
      <c r="G478" t="s">
        <v>74</v>
      </c>
      <c r="H478" t="s">
        <v>74</v>
      </c>
      <c r="I478" t="s">
        <v>7584</v>
      </c>
      <c r="J478" t="s">
        <v>4106</v>
      </c>
      <c r="K478" t="s">
        <v>74</v>
      </c>
      <c r="L478" t="s">
        <v>74</v>
      </c>
      <c r="M478" t="s">
        <v>78</v>
      </c>
      <c r="N478" t="s">
        <v>79</v>
      </c>
      <c r="O478" t="s">
        <v>74</v>
      </c>
      <c r="P478" t="s">
        <v>74</v>
      </c>
      <c r="Q478" t="s">
        <v>74</v>
      </c>
      <c r="R478" t="s">
        <v>74</v>
      </c>
      <c r="S478" t="s">
        <v>74</v>
      </c>
      <c r="T478" t="s">
        <v>74</v>
      </c>
      <c r="U478" t="s">
        <v>7585</v>
      </c>
      <c r="V478" t="s">
        <v>7586</v>
      </c>
      <c r="W478" t="s">
        <v>7587</v>
      </c>
      <c r="X478" t="s">
        <v>7588</v>
      </c>
      <c r="Y478" t="s">
        <v>7589</v>
      </c>
      <c r="Z478" t="s">
        <v>7590</v>
      </c>
      <c r="AA478" t="s">
        <v>7591</v>
      </c>
      <c r="AB478" t="s">
        <v>7592</v>
      </c>
      <c r="AC478" t="s">
        <v>74</v>
      </c>
      <c r="AD478" t="s">
        <v>74</v>
      </c>
      <c r="AE478" t="s">
        <v>74</v>
      </c>
      <c r="AF478" t="s">
        <v>74</v>
      </c>
      <c r="AG478">
        <v>35</v>
      </c>
      <c r="AH478">
        <v>207</v>
      </c>
      <c r="AI478">
        <v>238</v>
      </c>
      <c r="AJ478">
        <v>0</v>
      </c>
      <c r="AK478">
        <v>9</v>
      </c>
      <c r="AL478" t="s">
        <v>1757</v>
      </c>
      <c r="AM478" t="s">
        <v>88</v>
      </c>
      <c r="AN478" t="s">
        <v>1758</v>
      </c>
      <c r="AO478" t="s">
        <v>4115</v>
      </c>
      <c r="AP478" t="s">
        <v>4116</v>
      </c>
      <c r="AQ478" t="s">
        <v>74</v>
      </c>
      <c r="AR478" t="s">
        <v>4117</v>
      </c>
      <c r="AS478" t="s">
        <v>4118</v>
      </c>
      <c r="AT478" t="s">
        <v>7593</v>
      </c>
      <c r="AU478">
        <v>2006</v>
      </c>
      <c r="AV478">
        <v>111</v>
      </c>
      <c r="AW478" t="s">
        <v>4120</v>
      </c>
      <c r="AX478" t="s">
        <v>74</v>
      </c>
      <c r="AY478" t="s">
        <v>74</v>
      </c>
      <c r="AZ478" t="s">
        <v>74</v>
      </c>
      <c r="BA478" t="s">
        <v>74</v>
      </c>
      <c r="BB478" t="s">
        <v>74</v>
      </c>
      <c r="BC478" t="s">
        <v>74</v>
      </c>
      <c r="BD478" t="s">
        <v>7594</v>
      </c>
      <c r="BE478" t="s">
        <v>7595</v>
      </c>
      <c r="BF478" t="str">
        <f>HYPERLINK("http://dx.doi.org/10.1029/2005JF000394","http://dx.doi.org/10.1029/2005JF000394")</f>
        <v>http://dx.doi.org/10.1029/2005JF000394</v>
      </c>
      <c r="BG478" t="s">
        <v>74</v>
      </c>
      <c r="BH478" t="s">
        <v>74</v>
      </c>
      <c r="BI478">
        <v>10</v>
      </c>
      <c r="BJ478" t="s">
        <v>527</v>
      </c>
      <c r="BK478" t="s">
        <v>97</v>
      </c>
      <c r="BL478" t="s">
        <v>528</v>
      </c>
      <c r="BM478" t="s">
        <v>7596</v>
      </c>
      <c r="BN478" t="s">
        <v>74</v>
      </c>
      <c r="BO478" t="s">
        <v>460</v>
      </c>
      <c r="BP478" t="s">
        <v>74</v>
      </c>
      <c r="BQ478" t="s">
        <v>74</v>
      </c>
      <c r="BR478" t="s">
        <v>100</v>
      </c>
      <c r="BS478" t="s">
        <v>7597</v>
      </c>
      <c r="BT478" t="str">
        <f>HYPERLINK("https%3A%2F%2Fwww.webofscience.com%2Fwos%2Fwoscc%2Ffull-record%2FWOS:000237412500002","View Full Record in Web of Science")</f>
        <v>View Full Record in Web of Science</v>
      </c>
    </row>
    <row r="479" spans="1:72" x14ac:dyDescent="0.15">
      <c r="A479" t="s">
        <v>72</v>
      </c>
      <c r="B479" t="s">
        <v>7598</v>
      </c>
      <c r="C479" t="s">
        <v>74</v>
      </c>
      <c r="D479" t="s">
        <v>74</v>
      </c>
      <c r="E479" t="s">
        <v>74</v>
      </c>
      <c r="F479" t="s">
        <v>7598</v>
      </c>
      <c r="G479" t="s">
        <v>74</v>
      </c>
      <c r="H479" t="s">
        <v>74</v>
      </c>
      <c r="I479" t="s">
        <v>7599</v>
      </c>
      <c r="J479" t="s">
        <v>1748</v>
      </c>
      <c r="K479" t="s">
        <v>74</v>
      </c>
      <c r="L479" t="s">
        <v>74</v>
      </c>
      <c r="M479" t="s">
        <v>78</v>
      </c>
      <c r="N479" t="s">
        <v>79</v>
      </c>
      <c r="O479" t="s">
        <v>74</v>
      </c>
      <c r="P479" t="s">
        <v>74</v>
      </c>
      <c r="Q479" t="s">
        <v>74</v>
      </c>
      <c r="R479" t="s">
        <v>74</v>
      </c>
      <c r="S479" t="s">
        <v>74</v>
      </c>
      <c r="T479" t="s">
        <v>74</v>
      </c>
      <c r="U479" t="s">
        <v>7600</v>
      </c>
      <c r="V479" t="s">
        <v>7601</v>
      </c>
      <c r="W479" t="s">
        <v>7602</v>
      </c>
      <c r="X479" t="s">
        <v>7603</v>
      </c>
      <c r="Y479" t="s">
        <v>7604</v>
      </c>
      <c r="Z479" t="s">
        <v>7605</v>
      </c>
      <c r="AA479" t="s">
        <v>7606</v>
      </c>
      <c r="AB479" t="s">
        <v>7607</v>
      </c>
      <c r="AC479" t="s">
        <v>74</v>
      </c>
      <c r="AD479" t="s">
        <v>74</v>
      </c>
      <c r="AE479" t="s">
        <v>74</v>
      </c>
      <c r="AF479" t="s">
        <v>74</v>
      </c>
      <c r="AG479">
        <v>19</v>
      </c>
      <c r="AH479">
        <v>46</v>
      </c>
      <c r="AI479">
        <v>46</v>
      </c>
      <c r="AJ479">
        <v>0</v>
      </c>
      <c r="AK479">
        <v>10</v>
      </c>
      <c r="AL479" t="s">
        <v>1757</v>
      </c>
      <c r="AM479" t="s">
        <v>88</v>
      </c>
      <c r="AN479" t="s">
        <v>1758</v>
      </c>
      <c r="AO479" t="s">
        <v>1759</v>
      </c>
      <c r="AP479" t="s">
        <v>1760</v>
      </c>
      <c r="AQ479" t="s">
        <v>74</v>
      </c>
      <c r="AR479" t="s">
        <v>1761</v>
      </c>
      <c r="AS479" t="s">
        <v>1762</v>
      </c>
      <c r="AT479" t="s">
        <v>7608</v>
      </c>
      <c r="AU479">
        <v>2006</v>
      </c>
      <c r="AV479">
        <v>33</v>
      </c>
      <c r="AW479">
        <v>8</v>
      </c>
      <c r="AX479" t="s">
        <v>74</v>
      </c>
      <c r="AY479" t="s">
        <v>74</v>
      </c>
      <c r="AZ479" t="s">
        <v>74</v>
      </c>
      <c r="BA479" t="s">
        <v>74</v>
      </c>
      <c r="BB479" t="s">
        <v>74</v>
      </c>
      <c r="BC479" t="s">
        <v>74</v>
      </c>
      <c r="BD479" t="s">
        <v>7609</v>
      </c>
      <c r="BE479" t="s">
        <v>7610</v>
      </c>
      <c r="BF479" t="str">
        <f>HYPERLINK("http://dx.doi.org/10.1029/2006GL025774","http://dx.doi.org/10.1029/2006GL025774")</f>
        <v>http://dx.doi.org/10.1029/2006GL025774</v>
      </c>
      <c r="BG479" t="s">
        <v>74</v>
      </c>
      <c r="BH479" t="s">
        <v>74</v>
      </c>
      <c r="BI479">
        <v>5</v>
      </c>
      <c r="BJ479" t="s">
        <v>527</v>
      </c>
      <c r="BK479" t="s">
        <v>97</v>
      </c>
      <c r="BL479" t="s">
        <v>528</v>
      </c>
      <c r="BM479" t="s">
        <v>7611</v>
      </c>
      <c r="BN479" t="s">
        <v>74</v>
      </c>
      <c r="BO479" t="s">
        <v>164</v>
      </c>
      <c r="BP479" t="s">
        <v>74</v>
      </c>
      <c r="BQ479" t="s">
        <v>74</v>
      </c>
      <c r="BR479" t="s">
        <v>100</v>
      </c>
      <c r="BS479" t="s">
        <v>7612</v>
      </c>
      <c r="BT479" t="str">
        <f>HYPERLINK("https%3A%2F%2Fwww.webofscience.com%2Fwos%2Fwoscc%2Ffull-record%2FWOS:000237411400003","View Full Record in Web of Science")</f>
        <v>View Full Record in Web of Science</v>
      </c>
    </row>
    <row r="480" spans="1:72" x14ac:dyDescent="0.15">
      <c r="A480" t="s">
        <v>72</v>
      </c>
      <c r="B480" t="s">
        <v>7613</v>
      </c>
      <c r="C480" t="s">
        <v>74</v>
      </c>
      <c r="D480" t="s">
        <v>74</v>
      </c>
      <c r="E480" t="s">
        <v>74</v>
      </c>
      <c r="F480" t="s">
        <v>7613</v>
      </c>
      <c r="G480" t="s">
        <v>74</v>
      </c>
      <c r="H480" t="s">
        <v>74</v>
      </c>
      <c r="I480" t="s">
        <v>7614</v>
      </c>
      <c r="J480" t="s">
        <v>1748</v>
      </c>
      <c r="K480" t="s">
        <v>74</v>
      </c>
      <c r="L480" t="s">
        <v>74</v>
      </c>
      <c r="M480" t="s">
        <v>78</v>
      </c>
      <c r="N480" t="s">
        <v>79</v>
      </c>
      <c r="O480" t="s">
        <v>74</v>
      </c>
      <c r="P480" t="s">
        <v>74</v>
      </c>
      <c r="Q480" t="s">
        <v>74</v>
      </c>
      <c r="R480" t="s">
        <v>74</v>
      </c>
      <c r="S480" t="s">
        <v>74</v>
      </c>
      <c r="T480" t="s">
        <v>74</v>
      </c>
      <c r="U480" t="s">
        <v>7615</v>
      </c>
      <c r="V480" t="s">
        <v>7616</v>
      </c>
      <c r="W480" t="s">
        <v>7617</v>
      </c>
      <c r="X480" t="s">
        <v>7618</v>
      </c>
      <c r="Y480" t="s">
        <v>7619</v>
      </c>
      <c r="Z480" t="s">
        <v>7620</v>
      </c>
      <c r="AA480" t="s">
        <v>74</v>
      </c>
      <c r="AB480" t="s">
        <v>74</v>
      </c>
      <c r="AC480" t="s">
        <v>7621</v>
      </c>
      <c r="AD480" t="s">
        <v>413</v>
      </c>
      <c r="AE480" t="s">
        <v>74</v>
      </c>
      <c r="AF480" t="s">
        <v>74</v>
      </c>
      <c r="AG480">
        <v>12</v>
      </c>
      <c r="AH480">
        <v>13</v>
      </c>
      <c r="AI480">
        <v>13</v>
      </c>
      <c r="AJ480">
        <v>0</v>
      </c>
      <c r="AK480">
        <v>2</v>
      </c>
      <c r="AL480" t="s">
        <v>1757</v>
      </c>
      <c r="AM480" t="s">
        <v>88</v>
      </c>
      <c r="AN480" t="s">
        <v>1758</v>
      </c>
      <c r="AO480" t="s">
        <v>1759</v>
      </c>
      <c r="AP480" t="s">
        <v>1760</v>
      </c>
      <c r="AQ480" t="s">
        <v>74</v>
      </c>
      <c r="AR480" t="s">
        <v>1761</v>
      </c>
      <c r="AS480" t="s">
        <v>1762</v>
      </c>
      <c r="AT480" t="s">
        <v>7622</v>
      </c>
      <c r="AU480">
        <v>2006</v>
      </c>
      <c r="AV480">
        <v>33</v>
      </c>
      <c r="AW480">
        <v>8</v>
      </c>
      <c r="AX480" t="s">
        <v>74</v>
      </c>
      <c r="AY480" t="s">
        <v>74</v>
      </c>
      <c r="AZ480" t="s">
        <v>74</v>
      </c>
      <c r="BA480" t="s">
        <v>74</v>
      </c>
      <c r="BB480" t="s">
        <v>74</v>
      </c>
      <c r="BC480" t="s">
        <v>74</v>
      </c>
      <c r="BD480" t="s">
        <v>7623</v>
      </c>
      <c r="BE480" t="s">
        <v>7624</v>
      </c>
      <c r="BF480" t="str">
        <f>HYPERLINK("http://dx.doi.org/10.1029/2005GL025660","http://dx.doi.org/10.1029/2005GL025660")</f>
        <v>http://dx.doi.org/10.1029/2005GL025660</v>
      </c>
      <c r="BG480" t="s">
        <v>74</v>
      </c>
      <c r="BH480" t="s">
        <v>74</v>
      </c>
      <c r="BI480">
        <v>5</v>
      </c>
      <c r="BJ480" t="s">
        <v>527</v>
      </c>
      <c r="BK480" t="s">
        <v>97</v>
      </c>
      <c r="BL480" t="s">
        <v>528</v>
      </c>
      <c r="BM480" t="s">
        <v>7625</v>
      </c>
      <c r="BN480" t="s">
        <v>74</v>
      </c>
      <c r="BO480" t="s">
        <v>99</v>
      </c>
      <c r="BP480" t="s">
        <v>74</v>
      </c>
      <c r="BQ480" t="s">
        <v>74</v>
      </c>
      <c r="BR480" t="s">
        <v>100</v>
      </c>
      <c r="BS480" t="s">
        <v>7626</v>
      </c>
      <c r="BT480" t="str">
        <f>HYPERLINK("https%3A%2F%2Fwww.webofscience.com%2Fwos%2Fwoscc%2Ffull-record%2FWOS:000237308300006","View Full Record in Web of Science")</f>
        <v>View Full Record in Web of Science</v>
      </c>
    </row>
    <row r="481" spans="1:72" x14ac:dyDescent="0.15">
      <c r="A481" t="s">
        <v>72</v>
      </c>
      <c r="B481" t="s">
        <v>7627</v>
      </c>
      <c r="C481" t="s">
        <v>74</v>
      </c>
      <c r="D481" t="s">
        <v>74</v>
      </c>
      <c r="E481" t="s">
        <v>74</v>
      </c>
      <c r="F481" t="s">
        <v>7627</v>
      </c>
      <c r="G481" t="s">
        <v>74</v>
      </c>
      <c r="H481" t="s">
        <v>74</v>
      </c>
      <c r="I481" t="s">
        <v>7628</v>
      </c>
      <c r="J481" t="s">
        <v>1748</v>
      </c>
      <c r="K481" t="s">
        <v>74</v>
      </c>
      <c r="L481" t="s">
        <v>74</v>
      </c>
      <c r="M481" t="s">
        <v>78</v>
      </c>
      <c r="N481" t="s">
        <v>79</v>
      </c>
      <c r="O481" t="s">
        <v>74</v>
      </c>
      <c r="P481" t="s">
        <v>74</v>
      </c>
      <c r="Q481" t="s">
        <v>74</v>
      </c>
      <c r="R481" t="s">
        <v>74</v>
      </c>
      <c r="S481" t="s">
        <v>74</v>
      </c>
      <c r="T481" t="s">
        <v>74</v>
      </c>
      <c r="U481" t="s">
        <v>7629</v>
      </c>
      <c r="V481" t="s">
        <v>7630</v>
      </c>
      <c r="W481" t="s">
        <v>7631</v>
      </c>
      <c r="X481" t="s">
        <v>7632</v>
      </c>
      <c r="Y481" t="s">
        <v>7633</v>
      </c>
      <c r="Z481" t="s">
        <v>7634</v>
      </c>
      <c r="AA481" t="s">
        <v>7635</v>
      </c>
      <c r="AB481" t="s">
        <v>7636</v>
      </c>
      <c r="AC481" t="s">
        <v>74</v>
      </c>
      <c r="AD481" t="s">
        <v>74</v>
      </c>
      <c r="AE481" t="s">
        <v>74</v>
      </c>
      <c r="AF481" t="s">
        <v>74</v>
      </c>
      <c r="AG481">
        <v>23</v>
      </c>
      <c r="AH481">
        <v>40</v>
      </c>
      <c r="AI481">
        <v>45</v>
      </c>
      <c r="AJ481">
        <v>0</v>
      </c>
      <c r="AK481">
        <v>5</v>
      </c>
      <c r="AL481" t="s">
        <v>1757</v>
      </c>
      <c r="AM481" t="s">
        <v>88</v>
      </c>
      <c r="AN481" t="s">
        <v>1758</v>
      </c>
      <c r="AO481" t="s">
        <v>1759</v>
      </c>
      <c r="AP481" t="s">
        <v>1760</v>
      </c>
      <c r="AQ481" t="s">
        <v>74</v>
      </c>
      <c r="AR481" t="s">
        <v>1761</v>
      </c>
      <c r="AS481" t="s">
        <v>1762</v>
      </c>
      <c r="AT481" t="s">
        <v>7622</v>
      </c>
      <c r="AU481">
        <v>2006</v>
      </c>
      <c r="AV481">
        <v>33</v>
      </c>
      <c r="AW481">
        <v>8</v>
      </c>
      <c r="AX481" t="s">
        <v>74</v>
      </c>
      <c r="AY481" t="s">
        <v>74</v>
      </c>
      <c r="AZ481" t="s">
        <v>74</v>
      </c>
      <c r="BA481" t="s">
        <v>74</v>
      </c>
      <c r="BB481" t="s">
        <v>74</v>
      </c>
      <c r="BC481" t="s">
        <v>74</v>
      </c>
      <c r="BD481" t="s">
        <v>7637</v>
      </c>
      <c r="BE481" t="s">
        <v>7638</v>
      </c>
      <c r="BF481" t="str">
        <f>HYPERLINK("http://dx.doi.org/10.1029/2005GL025538","http://dx.doi.org/10.1029/2005GL025538")</f>
        <v>http://dx.doi.org/10.1029/2005GL025538</v>
      </c>
      <c r="BG481" t="s">
        <v>74</v>
      </c>
      <c r="BH481" t="s">
        <v>74</v>
      </c>
      <c r="BI481">
        <v>4</v>
      </c>
      <c r="BJ481" t="s">
        <v>527</v>
      </c>
      <c r="BK481" t="s">
        <v>97</v>
      </c>
      <c r="BL481" t="s">
        <v>528</v>
      </c>
      <c r="BM481" t="s">
        <v>7625</v>
      </c>
      <c r="BN481" t="s">
        <v>74</v>
      </c>
      <c r="BO481" t="s">
        <v>1767</v>
      </c>
      <c r="BP481" t="s">
        <v>74</v>
      </c>
      <c r="BQ481" t="s">
        <v>74</v>
      </c>
      <c r="BR481" t="s">
        <v>100</v>
      </c>
      <c r="BS481" t="s">
        <v>7639</v>
      </c>
      <c r="BT481" t="str">
        <f>HYPERLINK("https%3A%2F%2Fwww.webofscience.com%2Fwos%2Fwoscc%2Ffull-record%2FWOS:000237308300004","View Full Record in Web of Science")</f>
        <v>View Full Record in Web of Science</v>
      </c>
    </row>
    <row r="482" spans="1:72" x14ac:dyDescent="0.15">
      <c r="A482" t="s">
        <v>72</v>
      </c>
      <c r="B482" t="s">
        <v>7640</v>
      </c>
      <c r="C482" t="s">
        <v>74</v>
      </c>
      <c r="D482" t="s">
        <v>74</v>
      </c>
      <c r="E482" t="s">
        <v>74</v>
      </c>
      <c r="F482" t="s">
        <v>7640</v>
      </c>
      <c r="G482" t="s">
        <v>74</v>
      </c>
      <c r="H482" t="s">
        <v>74</v>
      </c>
      <c r="I482" t="s">
        <v>7641</v>
      </c>
      <c r="J482" t="s">
        <v>1828</v>
      </c>
      <c r="K482" t="s">
        <v>74</v>
      </c>
      <c r="L482" t="s">
        <v>74</v>
      </c>
      <c r="M482" t="s">
        <v>78</v>
      </c>
      <c r="N482" t="s">
        <v>79</v>
      </c>
      <c r="O482" t="s">
        <v>74</v>
      </c>
      <c r="P482" t="s">
        <v>74</v>
      </c>
      <c r="Q482" t="s">
        <v>74</v>
      </c>
      <c r="R482" t="s">
        <v>74</v>
      </c>
      <c r="S482" t="s">
        <v>74</v>
      </c>
      <c r="T482" t="s">
        <v>74</v>
      </c>
      <c r="U482" t="s">
        <v>7642</v>
      </c>
      <c r="V482" t="s">
        <v>7643</v>
      </c>
      <c r="W482" t="s">
        <v>7644</v>
      </c>
      <c r="X482" t="s">
        <v>7645</v>
      </c>
      <c r="Y482" t="s">
        <v>7646</v>
      </c>
      <c r="Z482" t="s">
        <v>7647</v>
      </c>
      <c r="AA482" t="s">
        <v>7648</v>
      </c>
      <c r="AB482" t="s">
        <v>74</v>
      </c>
      <c r="AC482" t="s">
        <v>74</v>
      </c>
      <c r="AD482" t="s">
        <v>74</v>
      </c>
      <c r="AE482" t="s">
        <v>74</v>
      </c>
      <c r="AF482" t="s">
        <v>74</v>
      </c>
      <c r="AG482">
        <v>31</v>
      </c>
      <c r="AH482">
        <v>403</v>
      </c>
      <c r="AI482">
        <v>463</v>
      </c>
      <c r="AJ482">
        <v>0</v>
      </c>
      <c r="AK482">
        <v>155</v>
      </c>
      <c r="AL482" t="s">
        <v>1836</v>
      </c>
      <c r="AM482" t="s">
        <v>88</v>
      </c>
      <c r="AN482" t="s">
        <v>1837</v>
      </c>
      <c r="AO482" t="s">
        <v>1838</v>
      </c>
      <c r="AP482" t="s">
        <v>1856</v>
      </c>
      <c r="AQ482" t="s">
        <v>74</v>
      </c>
      <c r="AR482" t="s">
        <v>1828</v>
      </c>
      <c r="AS482" t="s">
        <v>1839</v>
      </c>
      <c r="AT482" t="s">
        <v>7649</v>
      </c>
      <c r="AU482">
        <v>2006</v>
      </c>
      <c r="AV482">
        <v>312</v>
      </c>
      <c r="AW482">
        <v>5772</v>
      </c>
      <c r="AX482" t="s">
        <v>74</v>
      </c>
      <c r="AY482" t="s">
        <v>74</v>
      </c>
      <c r="AZ482" t="s">
        <v>74</v>
      </c>
      <c r="BA482" t="s">
        <v>74</v>
      </c>
      <c r="BB482">
        <v>428</v>
      </c>
      <c r="BC482">
        <v>430</v>
      </c>
      <c r="BD482" t="s">
        <v>74</v>
      </c>
      <c r="BE482" t="s">
        <v>7650</v>
      </c>
      <c r="BF482" t="str">
        <f>HYPERLINK("http://dx.doi.org/10.1126/science.1120044","http://dx.doi.org/10.1126/science.1120044")</f>
        <v>http://dx.doi.org/10.1126/science.1120044</v>
      </c>
      <c r="BG482" t="s">
        <v>74</v>
      </c>
      <c r="BH482" t="s">
        <v>74</v>
      </c>
      <c r="BI482">
        <v>3</v>
      </c>
      <c r="BJ482" t="s">
        <v>1841</v>
      </c>
      <c r="BK482" t="s">
        <v>97</v>
      </c>
      <c r="BL482" t="s">
        <v>1842</v>
      </c>
      <c r="BM482" t="s">
        <v>7651</v>
      </c>
      <c r="BN482">
        <v>16627741</v>
      </c>
      <c r="BO482" t="s">
        <v>74</v>
      </c>
      <c r="BP482" t="s">
        <v>74</v>
      </c>
      <c r="BQ482" t="s">
        <v>74</v>
      </c>
      <c r="BR482" t="s">
        <v>100</v>
      </c>
      <c r="BS482" t="s">
        <v>7652</v>
      </c>
      <c r="BT482" t="str">
        <f>HYPERLINK("https%3A%2F%2Fwww.webofscience.com%2Fwos%2Fwoscc%2Ffull-record%2FWOS:000236941800047","View Full Record in Web of Science")</f>
        <v>View Full Record in Web of Science</v>
      </c>
    </row>
    <row r="483" spans="1:72" x14ac:dyDescent="0.15">
      <c r="A483" t="s">
        <v>72</v>
      </c>
      <c r="B483" t="s">
        <v>7653</v>
      </c>
      <c r="C483" t="s">
        <v>74</v>
      </c>
      <c r="D483" t="s">
        <v>74</v>
      </c>
      <c r="E483" t="s">
        <v>74</v>
      </c>
      <c r="F483" t="s">
        <v>7653</v>
      </c>
      <c r="G483" t="s">
        <v>74</v>
      </c>
      <c r="H483" t="s">
        <v>74</v>
      </c>
      <c r="I483" t="s">
        <v>7654</v>
      </c>
      <c r="J483" t="s">
        <v>1884</v>
      </c>
      <c r="K483" t="s">
        <v>74</v>
      </c>
      <c r="L483" t="s">
        <v>74</v>
      </c>
      <c r="M483" t="s">
        <v>78</v>
      </c>
      <c r="N483" t="s">
        <v>79</v>
      </c>
      <c r="O483" t="s">
        <v>74</v>
      </c>
      <c r="P483" t="s">
        <v>74</v>
      </c>
      <c r="Q483" t="s">
        <v>74</v>
      </c>
      <c r="R483" t="s">
        <v>74</v>
      </c>
      <c r="S483" t="s">
        <v>74</v>
      </c>
      <c r="T483" t="s">
        <v>74</v>
      </c>
      <c r="U483" t="s">
        <v>7655</v>
      </c>
      <c r="V483" t="s">
        <v>7656</v>
      </c>
      <c r="W483" t="s">
        <v>7657</v>
      </c>
      <c r="X483" t="s">
        <v>7658</v>
      </c>
      <c r="Y483" t="s">
        <v>7659</v>
      </c>
      <c r="Z483" t="s">
        <v>7660</v>
      </c>
      <c r="AA483" t="s">
        <v>7661</v>
      </c>
      <c r="AB483" t="s">
        <v>7662</v>
      </c>
      <c r="AC483" t="s">
        <v>74</v>
      </c>
      <c r="AD483" t="s">
        <v>74</v>
      </c>
      <c r="AE483" t="s">
        <v>74</v>
      </c>
      <c r="AF483" t="s">
        <v>74</v>
      </c>
      <c r="AG483">
        <v>77</v>
      </c>
      <c r="AH483">
        <v>64</v>
      </c>
      <c r="AI483">
        <v>66</v>
      </c>
      <c r="AJ483">
        <v>0</v>
      </c>
      <c r="AK483">
        <v>10</v>
      </c>
      <c r="AL483" t="s">
        <v>1893</v>
      </c>
      <c r="AM483" t="s">
        <v>1894</v>
      </c>
      <c r="AN483" t="s">
        <v>1895</v>
      </c>
      <c r="AO483" t="s">
        <v>1896</v>
      </c>
      <c r="AP483" t="s">
        <v>1897</v>
      </c>
      <c r="AQ483" t="s">
        <v>74</v>
      </c>
      <c r="AR483" t="s">
        <v>1898</v>
      </c>
      <c r="AS483" t="s">
        <v>1899</v>
      </c>
      <c r="AT483" t="s">
        <v>7663</v>
      </c>
      <c r="AU483">
        <v>2006</v>
      </c>
      <c r="AV483">
        <v>6</v>
      </c>
      <c r="AW483" t="s">
        <v>74</v>
      </c>
      <c r="AX483" t="s">
        <v>74</v>
      </c>
      <c r="AY483" t="s">
        <v>74</v>
      </c>
      <c r="AZ483" t="s">
        <v>74</v>
      </c>
      <c r="BA483" t="s">
        <v>74</v>
      </c>
      <c r="BB483">
        <v>1201</v>
      </c>
      <c r="BC483">
        <v>1219</v>
      </c>
      <c r="BD483" t="s">
        <v>74</v>
      </c>
      <c r="BE483" t="s">
        <v>74</v>
      </c>
      <c r="BF483" t="s">
        <v>74</v>
      </c>
      <c r="BG483" t="s">
        <v>74</v>
      </c>
      <c r="BH483" t="s">
        <v>74</v>
      </c>
      <c r="BI483">
        <v>19</v>
      </c>
      <c r="BJ483" t="s">
        <v>395</v>
      </c>
      <c r="BK483" t="s">
        <v>97</v>
      </c>
      <c r="BL483" t="s">
        <v>396</v>
      </c>
      <c r="BM483" t="s">
        <v>7664</v>
      </c>
      <c r="BN483" t="s">
        <v>74</v>
      </c>
      <c r="BO483" t="s">
        <v>5810</v>
      </c>
      <c r="BP483" t="s">
        <v>74</v>
      </c>
      <c r="BQ483" t="s">
        <v>74</v>
      </c>
      <c r="BR483" t="s">
        <v>100</v>
      </c>
      <c r="BS483" t="s">
        <v>7665</v>
      </c>
      <c r="BT483" t="str">
        <f>HYPERLINK("https%3A%2F%2Fwww.webofscience.com%2Fwos%2Fwoscc%2Ffull-record%2FWOS:000236950100001","View Full Record in Web of Science")</f>
        <v>View Full Record in Web of Science</v>
      </c>
    </row>
    <row r="484" spans="1:72" x14ac:dyDescent="0.15">
      <c r="A484" t="s">
        <v>72</v>
      </c>
      <c r="B484" t="s">
        <v>7666</v>
      </c>
      <c r="C484" t="s">
        <v>74</v>
      </c>
      <c r="D484" t="s">
        <v>74</v>
      </c>
      <c r="E484" t="s">
        <v>74</v>
      </c>
      <c r="F484" t="s">
        <v>7666</v>
      </c>
      <c r="G484" t="s">
        <v>74</v>
      </c>
      <c r="H484" t="s">
        <v>74</v>
      </c>
      <c r="I484" t="s">
        <v>7667</v>
      </c>
      <c r="J484" t="s">
        <v>1884</v>
      </c>
      <c r="K484" t="s">
        <v>74</v>
      </c>
      <c r="L484" t="s">
        <v>74</v>
      </c>
      <c r="M484" t="s">
        <v>78</v>
      </c>
      <c r="N484" t="s">
        <v>79</v>
      </c>
      <c r="O484" t="s">
        <v>74</v>
      </c>
      <c r="P484" t="s">
        <v>74</v>
      </c>
      <c r="Q484" t="s">
        <v>74</v>
      </c>
      <c r="R484" t="s">
        <v>74</v>
      </c>
      <c r="S484" t="s">
        <v>74</v>
      </c>
      <c r="T484" t="s">
        <v>74</v>
      </c>
      <c r="U484" t="s">
        <v>7668</v>
      </c>
      <c r="V484" t="s">
        <v>7669</v>
      </c>
      <c r="W484" t="s">
        <v>7670</v>
      </c>
      <c r="X484" t="s">
        <v>7671</v>
      </c>
      <c r="Y484" t="s">
        <v>7659</v>
      </c>
      <c r="Z484" t="s">
        <v>7660</v>
      </c>
      <c r="AA484" t="s">
        <v>7672</v>
      </c>
      <c r="AB484" t="s">
        <v>7673</v>
      </c>
      <c r="AC484" t="s">
        <v>74</v>
      </c>
      <c r="AD484" t="s">
        <v>74</v>
      </c>
      <c r="AE484" t="s">
        <v>74</v>
      </c>
      <c r="AF484" t="s">
        <v>74</v>
      </c>
      <c r="AG484">
        <v>64</v>
      </c>
      <c r="AH484">
        <v>80</v>
      </c>
      <c r="AI484">
        <v>80</v>
      </c>
      <c r="AJ484">
        <v>0</v>
      </c>
      <c r="AK484">
        <v>13</v>
      </c>
      <c r="AL484" t="s">
        <v>1893</v>
      </c>
      <c r="AM484" t="s">
        <v>1894</v>
      </c>
      <c r="AN484" t="s">
        <v>1895</v>
      </c>
      <c r="AO484" t="s">
        <v>1896</v>
      </c>
      <c r="AP484" t="s">
        <v>1897</v>
      </c>
      <c r="AQ484" t="s">
        <v>74</v>
      </c>
      <c r="AR484" t="s">
        <v>1898</v>
      </c>
      <c r="AS484" t="s">
        <v>1899</v>
      </c>
      <c r="AT484" t="s">
        <v>7663</v>
      </c>
      <c r="AU484">
        <v>2006</v>
      </c>
      <c r="AV484">
        <v>6</v>
      </c>
      <c r="AW484" t="s">
        <v>74</v>
      </c>
      <c r="AX484" t="s">
        <v>74</v>
      </c>
      <c r="AY484" t="s">
        <v>74</v>
      </c>
      <c r="AZ484" t="s">
        <v>74</v>
      </c>
      <c r="BA484" t="s">
        <v>74</v>
      </c>
      <c r="BB484">
        <v>1221</v>
      </c>
      <c r="BC484">
        <v>1230</v>
      </c>
      <c r="BD484" t="s">
        <v>74</v>
      </c>
      <c r="BE484" t="s">
        <v>74</v>
      </c>
      <c r="BF484" t="s">
        <v>74</v>
      </c>
      <c r="BG484" t="s">
        <v>74</v>
      </c>
      <c r="BH484" t="s">
        <v>74</v>
      </c>
      <c r="BI484">
        <v>10</v>
      </c>
      <c r="BJ484" t="s">
        <v>395</v>
      </c>
      <c r="BK484" t="s">
        <v>97</v>
      </c>
      <c r="BL484" t="s">
        <v>396</v>
      </c>
      <c r="BM484" t="s">
        <v>7664</v>
      </c>
      <c r="BN484" t="s">
        <v>74</v>
      </c>
      <c r="BO484" t="s">
        <v>5810</v>
      </c>
      <c r="BP484" t="s">
        <v>74</v>
      </c>
      <c r="BQ484" t="s">
        <v>74</v>
      </c>
      <c r="BR484" t="s">
        <v>100</v>
      </c>
      <c r="BS484" t="s">
        <v>7674</v>
      </c>
      <c r="BT484" t="str">
        <f>HYPERLINK("https%3A%2F%2Fwww.webofscience.com%2Fwos%2Fwoscc%2Ffull-record%2FWOS:000236950100002","View Full Record in Web of Science")</f>
        <v>View Full Record in Web of Science</v>
      </c>
    </row>
    <row r="485" spans="1:72" x14ac:dyDescent="0.15">
      <c r="A485" t="s">
        <v>72</v>
      </c>
      <c r="B485" t="s">
        <v>7675</v>
      </c>
      <c r="C485" t="s">
        <v>74</v>
      </c>
      <c r="D485" t="s">
        <v>74</v>
      </c>
      <c r="E485" t="s">
        <v>74</v>
      </c>
      <c r="F485" t="s">
        <v>7675</v>
      </c>
      <c r="G485" t="s">
        <v>74</v>
      </c>
      <c r="H485" t="s">
        <v>74</v>
      </c>
      <c r="I485" t="s">
        <v>7676</v>
      </c>
      <c r="J485" t="s">
        <v>4036</v>
      </c>
      <c r="K485" t="s">
        <v>74</v>
      </c>
      <c r="L485" t="s">
        <v>74</v>
      </c>
      <c r="M485" t="s">
        <v>78</v>
      </c>
      <c r="N485" t="s">
        <v>1282</v>
      </c>
      <c r="O485" t="s">
        <v>74</v>
      </c>
      <c r="P485" t="s">
        <v>74</v>
      </c>
      <c r="Q485" t="s">
        <v>74</v>
      </c>
      <c r="R485" t="s">
        <v>74</v>
      </c>
      <c r="S485" t="s">
        <v>74</v>
      </c>
      <c r="T485" t="s">
        <v>74</v>
      </c>
      <c r="U485" t="s">
        <v>74</v>
      </c>
      <c r="V485" t="s">
        <v>74</v>
      </c>
      <c r="W485" t="s">
        <v>74</v>
      </c>
      <c r="X485" t="s">
        <v>74</v>
      </c>
      <c r="Y485" t="s">
        <v>74</v>
      </c>
      <c r="Z485" t="s">
        <v>74</v>
      </c>
      <c r="AA485" t="s">
        <v>74</v>
      </c>
      <c r="AB485" t="s">
        <v>74</v>
      </c>
      <c r="AC485" t="s">
        <v>74</v>
      </c>
      <c r="AD485" t="s">
        <v>74</v>
      </c>
      <c r="AE485" t="s">
        <v>74</v>
      </c>
      <c r="AF485" t="s">
        <v>74</v>
      </c>
      <c r="AG485">
        <v>0</v>
      </c>
      <c r="AH485">
        <v>0</v>
      </c>
      <c r="AI485">
        <v>0</v>
      </c>
      <c r="AJ485">
        <v>0</v>
      </c>
      <c r="AK485">
        <v>3</v>
      </c>
      <c r="AL485" t="s">
        <v>556</v>
      </c>
      <c r="AM485" t="s">
        <v>557</v>
      </c>
      <c r="AN485" t="s">
        <v>558</v>
      </c>
      <c r="AO485" t="s">
        <v>4045</v>
      </c>
      <c r="AP485" t="s">
        <v>74</v>
      </c>
      <c r="AQ485" t="s">
        <v>74</v>
      </c>
      <c r="AR485" t="s">
        <v>4036</v>
      </c>
      <c r="AS485" t="s">
        <v>4046</v>
      </c>
      <c r="AT485" t="s">
        <v>7663</v>
      </c>
      <c r="AU485">
        <v>2006</v>
      </c>
      <c r="AV485">
        <v>440</v>
      </c>
      <c r="AW485">
        <v>7087</v>
      </c>
      <c r="AX485" t="s">
        <v>74</v>
      </c>
      <c r="AY485" t="s">
        <v>74</v>
      </c>
      <c r="AZ485" t="s">
        <v>74</v>
      </c>
      <c r="BA485" t="s">
        <v>74</v>
      </c>
      <c r="BB485">
        <v>977</v>
      </c>
      <c r="BC485">
        <v>977</v>
      </c>
      <c r="BD485" t="s">
        <v>74</v>
      </c>
      <c r="BE485" t="s">
        <v>7677</v>
      </c>
      <c r="BF485" t="str">
        <f>HYPERLINK("http://dx.doi.org/10.1038/440977a","http://dx.doi.org/10.1038/440977a")</f>
        <v>http://dx.doi.org/10.1038/440977a</v>
      </c>
      <c r="BG485" t="s">
        <v>74</v>
      </c>
      <c r="BH485" t="s">
        <v>74</v>
      </c>
      <c r="BI485">
        <v>1</v>
      </c>
      <c r="BJ485" t="s">
        <v>1841</v>
      </c>
      <c r="BK485" t="s">
        <v>97</v>
      </c>
      <c r="BL485" t="s">
        <v>1842</v>
      </c>
      <c r="BM485" t="s">
        <v>7678</v>
      </c>
      <c r="BN485">
        <v>16625164</v>
      </c>
      <c r="BO485" t="s">
        <v>460</v>
      </c>
      <c r="BP485" t="s">
        <v>74</v>
      </c>
      <c r="BQ485" t="s">
        <v>74</v>
      </c>
      <c r="BR485" t="s">
        <v>100</v>
      </c>
      <c r="BS485" t="s">
        <v>7679</v>
      </c>
      <c r="BT485" t="str">
        <f>HYPERLINK("https%3A%2F%2Fwww.webofscience.com%2Fwos%2Fwoscc%2Ffull-record%2FWOS:000236906000006","View Full Record in Web of Science")</f>
        <v>View Full Record in Web of Science</v>
      </c>
    </row>
    <row r="486" spans="1:72" x14ac:dyDescent="0.15">
      <c r="A486" t="s">
        <v>72</v>
      </c>
      <c r="B486" t="s">
        <v>7680</v>
      </c>
      <c r="C486" t="s">
        <v>74</v>
      </c>
      <c r="D486" t="s">
        <v>74</v>
      </c>
      <c r="E486" t="s">
        <v>74</v>
      </c>
      <c r="F486" t="s">
        <v>7680</v>
      </c>
      <c r="G486" t="s">
        <v>74</v>
      </c>
      <c r="H486" t="s">
        <v>74</v>
      </c>
      <c r="I486" t="s">
        <v>7681</v>
      </c>
      <c r="J486" t="s">
        <v>4036</v>
      </c>
      <c r="K486" t="s">
        <v>74</v>
      </c>
      <c r="L486" t="s">
        <v>74</v>
      </c>
      <c r="M486" t="s">
        <v>78</v>
      </c>
      <c r="N486" t="s">
        <v>79</v>
      </c>
      <c r="O486" t="s">
        <v>74</v>
      </c>
      <c r="P486" t="s">
        <v>74</v>
      </c>
      <c r="Q486" t="s">
        <v>74</v>
      </c>
      <c r="R486" t="s">
        <v>74</v>
      </c>
      <c r="S486" t="s">
        <v>74</v>
      </c>
      <c r="T486" t="s">
        <v>74</v>
      </c>
      <c r="U486" t="s">
        <v>7682</v>
      </c>
      <c r="V486" t="s">
        <v>7683</v>
      </c>
      <c r="W486" t="s">
        <v>7684</v>
      </c>
      <c r="X486" t="s">
        <v>7685</v>
      </c>
      <c r="Y486" t="s">
        <v>7686</v>
      </c>
      <c r="Z486" t="s">
        <v>7687</v>
      </c>
      <c r="AA486" t="s">
        <v>7688</v>
      </c>
      <c r="AB486" t="s">
        <v>7689</v>
      </c>
      <c r="AC486" t="s">
        <v>74</v>
      </c>
      <c r="AD486" t="s">
        <v>74</v>
      </c>
      <c r="AE486" t="s">
        <v>74</v>
      </c>
      <c r="AF486" t="s">
        <v>74</v>
      </c>
      <c r="AG486">
        <v>20</v>
      </c>
      <c r="AH486">
        <v>304</v>
      </c>
      <c r="AI486">
        <v>354</v>
      </c>
      <c r="AJ486">
        <v>3</v>
      </c>
      <c r="AK486">
        <v>101</v>
      </c>
      <c r="AL486" t="s">
        <v>556</v>
      </c>
      <c r="AM486" t="s">
        <v>557</v>
      </c>
      <c r="AN486" t="s">
        <v>558</v>
      </c>
      <c r="AO486" t="s">
        <v>4045</v>
      </c>
      <c r="AP486" t="s">
        <v>5588</v>
      </c>
      <c r="AQ486" t="s">
        <v>74</v>
      </c>
      <c r="AR486" t="s">
        <v>4036</v>
      </c>
      <c r="AS486" t="s">
        <v>4046</v>
      </c>
      <c r="AT486" t="s">
        <v>7663</v>
      </c>
      <c r="AU486">
        <v>2006</v>
      </c>
      <c r="AV486">
        <v>440</v>
      </c>
      <c r="AW486">
        <v>7087</v>
      </c>
      <c r="AX486" t="s">
        <v>74</v>
      </c>
      <c r="AY486" t="s">
        <v>74</v>
      </c>
      <c r="AZ486" t="s">
        <v>74</v>
      </c>
      <c r="BA486" t="s">
        <v>74</v>
      </c>
      <c r="BB486">
        <v>1033</v>
      </c>
      <c r="BC486">
        <v>1036</v>
      </c>
      <c r="BD486" t="s">
        <v>74</v>
      </c>
      <c r="BE486" t="s">
        <v>7690</v>
      </c>
      <c r="BF486" t="str">
        <f>HYPERLINK("http://dx.doi.org/10.1038/nature04660","http://dx.doi.org/10.1038/nature04660")</f>
        <v>http://dx.doi.org/10.1038/nature04660</v>
      </c>
      <c r="BG486" t="s">
        <v>74</v>
      </c>
      <c r="BH486" t="s">
        <v>74</v>
      </c>
      <c r="BI486">
        <v>4</v>
      </c>
      <c r="BJ486" t="s">
        <v>1841</v>
      </c>
      <c r="BK486" t="s">
        <v>97</v>
      </c>
      <c r="BL486" t="s">
        <v>1842</v>
      </c>
      <c r="BM486" t="s">
        <v>7678</v>
      </c>
      <c r="BN486">
        <v>16625193</v>
      </c>
      <c r="BO486" t="s">
        <v>74</v>
      </c>
      <c r="BP486" t="s">
        <v>74</v>
      </c>
      <c r="BQ486" t="s">
        <v>74</v>
      </c>
      <c r="BR486" t="s">
        <v>100</v>
      </c>
      <c r="BS486" t="s">
        <v>7691</v>
      </c>
      <c r="BT486" t="str">
        <f>HYPERLINK("https%3A%2F%2Fwww.webofscience.com%2Fwos%2Fwoscc%2Ffull-record%2FWOS:000236906000032","View Full Record in Web of Science")</f>
        <v>View Full Record in Web of Science</v>
      </c>
    </row>
    <row r="487" spans="1:72" x14ac:dyDescent="0.15">
      <c r="A487" t="s">
        <v>72</v>
      </c>
      <c r="B487" t="s">
        <v>7692</v>
      </c>
      <c r="C487" t="s">
        <v>74</v>
      </c>
      <c r="D487" t="s">
        <v>74</v>
      </c>
      <c r="E487" t="s">
        <v>74</v>
      </c>
      <c r="F487" t="s">
        <v>7692</v>
      </c>
      <c r="G487" t="s">
        <v>74</v>
      </c>
      <c r="H487" t="s">
        <v>74</v>
      </c>
      <c r="I487" t="s">
        <v>7693</v>
      </c>
      <c r="J487" t="s">
        <v>1791</v>
      </c>
      <c r="K487" t="s">
        <v>74</v>
      </c>
      <c r="L487" t="s">
        <v>74</v>
      </c>
      <c r="M487" t="s">
        <v>78</v>
      </c>
      <c r="N487" t="s">
        <v>79</v>
      </c>
      <c r="O487" t="s">
        <v>74</v>
      </c>
      <c r="P487" t="s">
        <v>74</v>
      </c>
      <c r="Q487" t="s">
        <v>74</v>
      </c>
      <c r="R487" t="s">
        <v>74</v>
      </c>
      <c r="S487" t="s">
        <v>74</v>
      </c>
      <c r="T487" t="s">
        <v>7694</v>
      </c>
      <c r="U487" t="s">
        <v>7695</v>
      </c>
      <c r="V487" t="s">
        <v>7696</v>
      </c>
      <c r="W487" t="s">
        <v>7697</v>
      </c>
      <c r="X487" t="s">
        <v>7698</v>
      </c>
      <c r="Y487" t="s">
        <v>7699</v>
      </c>
      <c r="Z487" t="s">
        <v>695</v>
      </c>
      <c r="AA487" t="s">
        <v>7700</v>
      </c>
      <c r="AB487" t="s">
        <v>7701</v>
      </c>
      <c r="AC487" t="s">
        <v>74</v>
      </c>
      <c r="AD487" t="s">
        <v>74</v>
      </c>
      <c r="AE487" t="s">
        <v>74</v>
      </c>
      <c r="AF487" t="s">
        <v>74</v>
      </c>
      <c r="AG487">
        <v>35</v>
      </c>
      <c r="AH487">
        <v>21</v>
      </c>
      <c r="AI487">
        <v>28</v>
      </c>
      <c r="AJ487">
        <v>0</v>
      </c>
      <c r="AK487">
        <v>9</v>
      </c>
      <c r="AL487" t="s">
        <v>1757</v>
      </c>
      <c r="AM487" t="s">
        <v>88</v>
      </c>
      <c r="AN487" t="s">
        <v>1758</v>
      </c>
      <c r="AO487" t="s">
        <v>74</v>
      </c>
      <c r="AP487" t="s">
        <v>1801</v>
      </c>
      <c r="AQ487" t="s">
        <v>74</v>
      </c>
      <c r="AR487" t="s">
        <v>1802</v>
      </c>
      <c r="AS487" t="s">
        <v>1803</v>
      </c>
      <c r="AT487" t="s">
        <v>7702</v>
      </c>
      <c r="AU487">
        <v>2006</v>
      </c>
      <c r="AV487">
        <v>7</v>
      </c>
      <c r="AW487" t="s">
        <v>74</v>
      </c>
      <c r="AX487" t="s">
        <v>74</v>
      </c>
      <c r="AY487" t="s">
        <v>74</v>
      </c>
      <c r="AZ487" t="s">
        <v>74</v>
      </c>
      <c r="BA487" t="s">
        <v>74</v>
      </c>
      <c r="BB487" t="s">
        <v>74</v>
      </c>
      <c r="BC487" t="s">
        <v>74</v>
      </c>
      <c r="BD487" t="s">
        <v>7703</v>
      </c>
      <c r="BE487" t="s">
        <v>7704</v>
      </c>
      <c r="BF487" t="str">
        <f>HYPERLINK("http://dx.doi.org/10.1029/2005GC001097","http://dx.doi.org/10.1029/2005GC001097")</f>
        <v>http://dx.doi.org/10.1029/2005GC001097</v>
      </c>
      <c r="BG487" t="s">
        <v>74</v>
      </c>
      <c r="BH487" t="s">
        <v>74</v>
      </c>
      <c r="BI487">
        <v>7</v>
      </c>
      <c r="BJ487" t="s">
        <v>608</v>
      </c>
      <c r="BK487" t="s">
        <v>97</v>
      </c>
      <c r="BL487" t="s">
        <v>608</v>
      </c>
      <c r="BM487" t="s">
        <v>7705</v>
      </c>
      <c r="BN487" t="s">
        <v>74</v>
      </c>
      <c r="BO487" t="s">
        <v>1767</v>
      </c>
      <c r="BP487" t="s">
        <v>74</v>
      </c>
      <c r="BQ487" t="s">
        <v>74</v>
      </c>
      <c r="BR487" t="s">
        <v>100</v>
      </c>
      <c r="BS487" t="s">
        <v>7706</v>
      </c>
      <c r="BT487" t="str">
        <f>HYPERLINK("https%3A%2F%2Fwww.webofscience.com%2Fwos%2Fwoscc%2Ffull-record%2FWOS:000237307300002","View Full Record in Web of Science")</f>
        <v>View Full Record in Web of Science</v>
      </c>
    </row>
    <row r="488" spans="1:72" x14ac:dyDescent="0.15">
      <c r="A488" t="s">
        <v>72</v>
      </c>
      <c r="B488" t="s">
        <v>7707</v>
      </c>
      <c r="C488" t="s">
        <v>74</v>
      </c>
      <c r="D488" t="s">
        <v>74</v>
      </c>
      <c r="E488" t="s">
        <v>74</v>
      </c>
      <c r="F488" t="s">
        <v>7707</v>
      </c>
      <c r="G488" t="s">
        <v>74</v>
      </c>
      <c r="H488" t="s">
        <v>74</v>
      </c>
      <c r="I488" t="s">
        <v>7708</v>
      </c>
      <c r="J488" t="s">
        <v>7709</v>
      </c>
      <c r="K488" t="s">
        <v>74</v>
      </c>
      <c r="L488" t="s">
        <v>74</v>
      </c>
      <c r="M488" t="s">
        <v>78</v>
      </c>
      <c r="N488" t="s">
        <v>79</v>
      </c>
      <c r="O488" t="s">
        <v>74</v>
      </c>
      <c r="P488" t="s">
        <v>74</v>
      </c>
      <c r="Q488" t="s">
        <v>74</v>
      </c>
      <c r="R488" t="s">
        <v>74</v>
      </c>
      <c r="S488" t="s">
        <v>74</v>
      </c>
      <c r="T488" t="s">
        <v>74</v>
      </c>
      <c r="U488" t="s">
        <v>7710</v>
      </c>
      <c r="V488" t="s">
        <v>7711</v>
      </c>
      <c r="W488" t="s">
        <v>7712</v>
      </c>
      <c r="X488" t="s">
        <v>7713</v>
      </c>
      <c r="Y488" t="s">
        <v>7714</v>
      </c>
      <c r="Z488" t="s">
        <v>7715</v>
      </c>
      <c r="AA488" t="s">
        <v>7716</v>
      </c>
      <c r="AB488" t="s">
        <v>7717</v>
      </c>
      <c r="AC488" t="s">
        <v>74</v>
      </c>
      <c r="AD488" t="s">
        <v>74</v>
      </c>
      <c r="AE488" t="s">
        <v>74</v>
      </c>
      <c r="AF488" t="s">
        <v>74</v>
      </c>
      <c r="AG488">
        <v>62</v>
      </c>
      <c r="AH488">
        <v>39</v>
      </c>
      <c r="AI488">
        <v>39</v>
      </c>
      <c r="AJ488">
        <v>0</v>
      </c>
      <c r="AK488">
        <v>11</v>
      </c>
      <c r="AL488" t="s">
        <v>6146</v>
      </c>
      <c r="AM488" t="s">
        <v>88</v>
      </c>
      <c r="AN488" t="s">
        <v>6147</v>
      </c>
      <c r="AO488" t="s">
        <v>7718</v>
      </c>
      <c r="AP488" t="s">
        <v>74</v>
      </c>
      <c r="AQ488" t="s">
        <v>74</v>
      </c>
      <c r="AR488" t="s">
        <v>7719</v>
      </c>
      <c r="AS488" t="s">
        <v>7720</v>
      </c>
      <c r="AT488" t="s">
        <v>7721</v>
      </c>
      <c r="AU488">
        <v>2006</v>
      </c>
      <c r="AV488">
        <v>45</v>
      </c>
      <c r="AW488">
        <v>15</v>
      </c>
      <c r="AX488" t="s">
        <v>74</v>
      </c>
      <c r="AY488" t="s">
        <v>74</v>
      </c>
      <c r="AZ488" t="s">
        <v>74</v>
      </c>
      <c r="BA488" t="s">
        <v>74</v>
      </c>
      <c r="BB488">
        <v>4797</v>
      </c>
      <c r="BC488">
        <v>4807</v>
      </c>
      <c r="BD488" t="s">
        <v>74</v>
      </c>
      <c r="BE488" t="s">
        <v>7722</v>
      </c>
      <c r="BF488" t="str">
        <f>HYPERLINK("http://dx.doi.org/10.1021/bi052193e","http://dx.doi.org/10.1021/bi052193e")</f>
        <v>http://dx.doi.org/10.1021/bi052193e</v>
      </c>
      <c r="BG488" t="s">
        <v>74</v>
      </c>
      <c r="BH488" t="s">
        <v>74</v>
      </c>
      <c r="BI488">
        <v>11</v>
      </c>
      <c r="BJ488" t="s">
        <v>6030</v>
      </c>
      <c r="BK488" t="s">
        <v>97</v>
      </c>
      <c r="BL488" t="s">
        <v>6030</v>
      </c>
      <c r="BM488" t="s">
        <v>7723</v>
      </c>
      <c r="BN488">
        <v>16605248</v>
      </c>
      <c r="BO488" t="s">
        <v>74</v>
      </c>
      <c r="BP488" t="s">
        <v>74</v>
      </c>
      <c r="BQ488" t="s">
        <v>74</v>
      </c>
      <c r="BR488" t="s">
        <v>100</v>
      </c>
      <c r="BS488" t="s">
        <v>7724</v>
      </c>
      <c r="BT488" t="str">
        <f>HYPERLINK("https%3A%2F%2Fwww.webofscience.com%2Fwos%2Fwoscc%2Ffull-record%2FWOS:000236952700010","View Full Record in Web of Science")</f>
        <v>View Full Record in Web of Science</v>
      </c>
    </row>
    <row r="489" spans="1:72" x14ac:dyDescent="0.15">
      <c r="A489" t="s">
        <v>72</v>
      </c>
      <c r="B489" t="s">
        <v>7725</v>
      </c>
      <c r="C489" t="s">
        <v>74</v>
      </c>
      <c r="D489" t="s">
        <v>74</v>
      </c>
      <c r="E489" t="s">
        <v>74</v>
      </c>
      <c r="F489" t="s">
        <v>7725</v>
      </c>
      <c r="G489" t="s">
        <v>74</v>
      </c>
      <c r="H489" t="s">
        <v>74</v>
      </c>
      <c r="I489" t="s">
        <v>7726</v>
      </c>
      <c r="J489" t="s">
        <v>1748</v>
      </c>
      <c r="K489" t="s">
        <v>74</v>
      </c>
      <c r="L489" t="s">
        <v>74</v>
      </c>
      <c r="M489" t="s">
        <v>78</v>
      </c>
      <c r="N489" t="s">
        <v>79</v>
      </c>
      <c r="O489" t="s">
        <v>74</v>
      </c>
      <c r="P489" t="s">
        <v>74</v>
      </c>
      <c r="Q489" t="s">
        <v>74</v>
      </c>
      <c r="R489" t="s">
        <v>74</v>
      </c>
      <c r="S489" t="s">
        <v>74</v>
      </c>
      <c r="T489" t="s">
        <v>74</v>
      </c>
      <c r="U489" t="s">
        <v>7727</v>
      </c>
      <c r="V489" t="s">
        <v>7728</v>
      </c>
      <c r="W489" t="s">
        <v>7729</v>
      </c>
      <c r="X489" t="s">
        <v>1007</v>
      </c>
      <c r="Y489" t="s">
        <v>7730</v>
      </c>
      <c r="Z489" t="s">
        <v>7731</v>
      </c>
      <c r="AA489" t="s">
        <v>7732</v>
      </c>
      <c r="AB489" t="s">
        <v>7733</v>
      </c>
      <c r="AC489" t="s">
        <v>2214</v>
      </c>
      <c r="AD489" t="s">
        <v>413</v>
      </c>
      <c r="AE489" t="s">
        <v>74</v>
      </c>
      <c r="AF489" t="s">
        <v>74</v>
      </c>
      <c r="AG489">
        <v>16</v>
      </c>
      <c r="AH489">
        <v>8</v>
      </c>
      <c r="AI489">
        <v>10</v>
      </c>
      <c r="AJ489">
        <v>0</v>
      </c>
      <c r="AK489">
        <v>2</v>
      </c>
      <c r="AL489" t="s">
        <v>1757</v>
      </c>
      <c r="AM489" t="s">
        <v>88</v>
      </c>
      <c r="AN489" t="s">
        <v>1758</v>
      </c>
      <c r="AO489" t="s">
        <v>1759</v>
      </c>
      <c r="AP489" t="s">
        <v>74</v>
      </c>
      <c r="AQ489" t="s">
        <v>74</v>
      </c>
      <c r="AR489" t="s">
        <v>1761</v>
      </c>
      <c r="AS489" t="s">
        <v>1762</v>
      </c>
      <c r="AT489" t="s">
        <v>7721</v>
      </c>
      <c r="AU489">
        <v>2006</v>
      </c>
      <c r="AV489">
        <v>33</v>
      </c>
      <c r="AW489">
        <v>8</v>
      </c>
      <c r="AX489" t="s">
        <v>74</v>
      </c>
      <c r="AY489" t="s">
        <v>74</v>
      </c>
      <c r="AZ489" t="s">
        <v>74</v>
      </c>
      <c r="BA489" t="s">
        <v>74</v>
      </c>
      <c r="BB489" t="s">
        <v>74</v>
      </c>
      <c r="BC489" t="s">
        <v>74</v>
      </c>
      <c r="BD489" t="s">
        <v>7734</v>
      </c>
      <c r="BE489" t="s">
        <v>7735</v>
      </c>
      <c r="BF489" t="str">
        <f>HYPERLINK("http://dx.doi.org/10.1029/2006GL025899","http://dx.doi.org/10.1029/2006GL025899")</f>
        <v>http://dx.doi.org/10.1029/2006GL025899</v>
      </c>
      <c r="BG489" t="s">
        <v>74</v>
      </c>
      <c r="BH489" t="s">
        <v>74</v>
      </c>
      <c r="BI489">
        <v>4</v>
      </c>
      <c r="BJ489" t="s">
        <v>527</v>
      </c>
      <c r="BK489" t="s">
        <v>97</v>
      </c>
      <c r="BL489" t="s">
        <v>528</v>
      </c>
      <c r="BM489" t="s">
        <v>7736</v>
      </c>
      <c r="BN489" t="s">
        <v>74</v>
      </c>
      <c r="BO489" t="s">
        <v>99</v>
      </c>
      <c r="BP489" t="s">
        <v>74</v>
      </c>
      <c r="BQ489" t="s">
        <v>74</v>
      </c>
      <c r="BR489" t="s">
        <v>100</v>
      </c>
      <c r="BS489" t="s">
        <v>7737</v>
      </c>
      <c r="BT489" t="str">
        <f>HYPERLINK("https%3A%2F%2Fwww.webofscience.com%2Fwos%2Fwoscc%2Ffull-record%2FWOS:000237307700005","View Full Record in Web of Science")</f>
        <v>View Full Record in Web of Science</v>
      </c>
    </row>
    <row r="490" spans="1:72" x14ac:dyDescent="0.15">
      <c r="A490" t="s">
        <v>72</v>
      </c>
      <c r="B490" t="s">
        <v>1014</v>
      </c>
      <c r="C490" t="s">
        <v>74</v>
      </c>
      <c r="D490" t="s">
        <v>74</v>
      </c>
      <c r="E490" t="s">
        <v>74</v>
      </c>
      <c r="F490" t="s">
        <v>1014</v>
      </c>
      <c r="G490" t="s">
        <v>74</v>
      </c>
      <c r="H490" t="s">
        <v>74</v>
      </c>
      <c r="I490" t="s">
        <v>7738</v>
      </c>
      <c r="J490" t="s">
        <v>2560</v>
      </c>
      <c r="K490" t="s">
        <v>74</v>
      </c>
      <c r="L490" t="s">
        <v>74</v>
      </c>
      <c r="M490" t="s">
        <v>78</v>
      </c>
      <c r="N490" t="s">
        <v>79</v>
      </c>
      <c r="O490" t="s">
        <v>74</v>
      </c>
      <c r="P490" t="s">
        <v>74</v>
      </c>
      <c r="Q490" t="s">
        <v>74</v>
      </c>
      <c r="R490" t="s">
        <v>74</v>
      </c>
      <c r="S490" t="s">
        <v>74</v>
      </c>
      <c r="T490" t="s">
        <v>7739</v>
      </c>
      <c r="U490" t="s">
        <v>7740</v>
      </c>
      <c r="V490" t="s">
        <v>7741</v>
      </c>
      <c r="W490" t="s">
        <v>7742</v>
      </c>
      <c r="X490" t="s">
        <v>1018</v>
      </c>
      <c r="Y490" t="s">
        <v>7743</v>
      </c>
      <c r="Z490" t="s">
        <v>4567</v>
      </c>
      <c r="AA490" t="s">
        <v>7744</v>
      </c>
      <c r="AB490" t="s">
        <v>1021</v>
      </c>
      <c r="AC490" t="s">
        <v>74</v>
      </c>
      <c r="AD490" t="s">
        <v>74</v>
      </c>
      <c r="AE490" t="s">
        <v>74</v>
      </c>
      <c r="AF490" t="s">
        <v>74</v>
      </c>
      <c r="AG490">
        <v>22</v>
      </c>
      <c r="AH490">
        <v>128</v>
      </c>
      <c r="AI490">
        <v>148</v>
      </c>
      <c r="AJ490">
        <v>10</v>
      </c>
      <c r="AK490">
        <v>99</v>
      </c>
      <c r="AL490" t="s">
        <v>2570</v>
      </c>
      <c r="AM490" t="s">
        <v>88</v>
      </c>
      <c r="AN490" t="s">
        <v>2571</v>
      </c>
      <c r="AO490" t="s">
        <v>2572</v>
      </c>
      <c r="AP490" t="s">
        <v>74</v>
      </c>
      <c r="AQ490" t="s">
        <v>74</v>
      </c>
      <c r="AR490" t="s">
        <v>2573</v>
      </c>
      <c r="AS490" t="s">
        <v>2574</v>
      </c>
      <c r="AT490" t="s">
        <v>7721</v>
      </c>
      <c r="AU490">
        <v>2006</v>
      </c>
      <c r="AV490">
        <v>103</v>
      </c>
      <c r="AW490">
        <v>16</v>
      </c>
      <c r="AX490" t="s">
        <v>74</v>
      </c>
      <c r="AY490" t="s">
        <v>74</v>
      </c>
      <c r="AZ490" t="s">
        <v>74</v>
      </c>
      <c r="BA490" t="s">
        <v>74</v>
      </c>
      <c r="BB490">
        <v>6248</v>
      </c>
      <c r="BC490">
        <v>6251</v>
      </c>
      <c r="BD490" t="s">
        <v>74</v>
      </c>
      <c r="BE490" t="s">
        <v>7745</v>
      </c>
      <c r="BF490" t="str">
        <f>HYPERLINK("http://dx.doi.org/10.1073/pnas.0510397103","http://dx.doi.org/10.1073/pnas.0510397103")</f>
        <v>http://dx.doi.org/10.1073/pnas.0510397103</v>
      </c>
      <c r="BG490" t="s">
        <v>74</v>
      </c>
      <c r="BH490" t="s">
        <v>74</v>
      </c>
      <c r="BI490">
        <v>4</v>
      </c>
      <c r="BJ490" t="s">
        <v>1841</v>
      </c>
      <c r="BK490" t="s">
        <v>97</v>
      </c>
      <c r="BL490" t="s">
        <v>1842</v>
      </c>
      <c r="BM490" t="s">
        <v>7746</v>
      </c>
      <c r="BN490">
        <v>16601100</v>
      </c>
      <c r="BO490" t="s">
        <v>99</v>
      </c>
      <c r="BP490" t="s">
        <v>74</v>
      </c>
      <c r="BQ490" t="s">
        <v>74</v>
      </c>
      <c r="BR490" t="s">
        <v>100</v>
      </c>
      <c r="BS490" t="s">
        <v>7747</v>
      </c>
      <c r="BT490" t="str">
        <f>HYPERLINK("https%3A%2F%2Fwww.webofscience.com%2Fwos%2Fwoscc%2Ffull-record%2FWOS:000236999000035","View Full Record in Web of Science")</f>
        <v>View Full Record in Web of Science</v>
      </c>
    </row>
    <row r="491" spans="1:72" x14ac:dyDescent="0.15">
      <c r="A491" t="s">
        <v>72</v>
      </c>
      <c r="B491" t="s">
        <v>7748</v>
      </c>
      <c r="C491" t="s">
        <v>74</v>
      </c>
      <c r="D491" t="s">
        <v>74</v>
      </c>
      <c r="E491" t="s">
        <v>74</v>
      </c>
      <c r="F491" t="s">
        <v>7748</v>
      </c>
      <c r="G491" t="s">
        <v>74</v>
      </c>
      <c r="H491" t="s">
        <v>74</v>
      </c>
      <c r="I491" t="s">
        <v>7749</v>
      </c>
      <c r="J491" t="s">
        <v>3745</v>
      </c>
      <c r="K491" t="s">
        <v>74</v>
      </c>
      <c r="L491" t="s">
        <v>74</v>
      </c>
      <c r="M491" t="s">
        <v>78</v>
      </c>
      <c r="N491" t="s">
        <v>79</v>
      </c>
      <c r="O491" t="s">
        <v>74</v>
      </c>
      <c r="P491" t="s">
        <v>74</v>
      </c>
      <c r="Q491" t="s">
        <v>74</v>
      </c>
      <c r="R491" t="s">
        <v>74</v>
      </c>
      <c r="S491" t="s">
        <v>74</v>
      </c>
      <c r="T491" t="s">
        <v>7750</v>
      </c>
      <c r="U491" t="s">
        <v>7751</v>
      </c>
      <c r="V491" t="s">
        <v>7752</v>
      </c>
      <c r="W491" t="s">
        <v>7753</v>
      </c>
      <c r="X491" t="s">
        <v>3750</v>
      </c>
      <c r="Y491" t="s">
        <v>7754</v>
      </c>
      <c r="Z491" t="s">
        <v>7755</v>
      </c>
      <c r="AA491" t="s">
        <v>7756</v>
      </c>
      <c r="AB491" t="s">
        <v>7757</v>
      </c>
      <c r="AC491" t="s">
        <v>74</v>
      </c>
      <c r="AD491" t="s">
        <v>74</v>
      </c>
      <c r="AE491" t="s">
        <v>74</v>
      </c>
      <c r="AF491" t="s">
        <v>74</v>
      </c>
      <c r="AG491">
        <v>41</v>
      </c>
      <c r="AH491">
        <v>44</v>
      </c>
      <c r="AI491">
        <v>49</v>
      </c>
      <c r="AJ491">
        <v>0</v>
      </c>
      <c r="AK491">
        <v>10</v>
      </c>
      <c r="AL491" t="s">
        <v>519</v>
      </c>
      <c r="AM491" t="s">
        <v>520</v>
      </c>
      <c r="AN491" t="s">
        <v>521</v>
      </c>
      <c r="AO491" t="s">
        <v>3753</v>
      </c>
      <c r="AP491" t="s">
        <v>3754</v>
      </c>
      <c r="AQ491" t="s">
        <v>74</v>
      </c>
      <c r="AR491" t="s">
        <v>3755</v>
      </c>
      <c r="AS491" t="s">
        <v>3756</v>
      </c>
      <c r="AT491" t="s">
        <v>7758</v>
      </c>
      <c r="AU491">
        <v>2006</v>
      </c>
      <c r="AV491">
        <v>244</v>
      </c>
      <c r="AW491" t="s">
        <v>765</v>
      </c>
      <c r="AX491" t="s">
        <v>74</v>
      </c>
      <c r="AY491" t="s">
        <v>74</v>
      </c>
      <c r="AZ491" t="s">
        <v>74</v>
      </c>
      <c r="BA491" t="s">
        <v>74</v>
      </c>
      <c r="BB491">
        <v>44</v>
      </c>
      <c r="BC491">
        <v>57</v>
      </c>
      <c r="BD491" t="s">
        <v>74</v>
      </c>
      <c r="BE491" t="s">
        <v>7759</v>
      </c>
      <c r="BF491" t="str">
        <f>HYPERLINK("http://dx.doi.org/10.1016/j.epsl.2006.01.031","http://dx.doi.org/10.1016/j.epsl.2006.01.031")</f>
        <v>http://dx.doi.org/10.1016/j.epsl.2006.01.031</v>
      </c>
      <c r="BG491" t="s">
        <v>74</v>
      </c>
      <c r="BH491" t="s">
        <v>74</v>
      </c>
      <c r="BI491">
        <v>14</v>
      </c>
      <c r="BJ491" t="s">
        <v>608</v>
      </c>
      <c r="BK491" t="s">
        <v>97</v>
      </c>
      <c r="BL491" t="s">
        <v>608</v>
      </c>
      <c r="BM491" t="s">
        <v>7760</v>
      </c>
      <c r="BN491" t="s">
        <v>74</v>
      </c>
      <c r="BO491" t="s">
        <v>74</v>
      </c>
      <c r="BP491" t="s">
        <v>74</v>
      </c>
      <c r="BQ491" t="s">
        <v>74</v>
      </c>
      <c r="BR491" t="s">
        <v>100</v>
      </c>
      <c r="BS491" t="s">
        <v>7761</v>
      </c>
      <c r="BT491" t="str">
        <f>HYPERLINK("https%3A%2F%2Fwww.webofscience.com%2Fwos%2Fwoscc%2Ffull-record%2FWOS:000236991300004","View Full Record in Web of Science")</f>
        <v>View Full Record in Web of Science</v>
      </c>
    </row>
    <row r="492" spans="1:72" x14ac:dyDescent="0.15">
      <c r="A492" t="s">
        <v>72</v>
      </c>
      <c r="B492" t="s">
        <v>7762</v>
      </c>
      <c r="C492" t="s">
        <v>74</v>
      </c>
      <c r="D492" t="s">
        <v>74</v>
      </c>
      <c r="E492" t="s">
        <v>74</v>
      </c>
      <c r="F492" t="s">
        <v>7762</v>
      </c>
      <c r="G492" t="s">
        <v>74</v>
      </c>
      <c r="H492" t="s">
        <v>74</v>
      </c>
      <c r="I492" t="s">
        <v>7763</v>
      </c>
      <c r="J492" t="s">
        <v>3745</v>
      </c>
      <c r="K492" t="s">
        <v>74</v>
      </c>
      <c r="L492" t="s">
        <v>74</v>
      </c>
      <c r="M492" t="s">
        <v>78</v>
      </c>
      <c r="N492" t="s">
        <v>79</v>
      </c>
      <c r="O492" t="s">
        <v>74</v>
      </c>
      <c r="P492" t="s">
        <v>74</v>
      </c>
      <c r="Q492" t="s">
        <v>74</v>
      </c>
      <c r="R492" t="s">
        <v>74</v>
      </c>
      <c r="S492" t="s">
        <v>74</v>
      </c>
      <c r="T492" t="s">
        <v>7764</v>
      </c>
      <c r="U492" t="s">
        <v>7765</v>
      </c>
      <c r="V492" t="s">
        <v>7766</v>
      </c>
      <c r="W492" t="s">
        <v>7767</v>
      </c>
      <c r="X492" t="s">
        <v>7768</v>
      </c>
      <c r="Y492" t="s">
        <v>7769</v>
      </c>
      <c r="Z492" t="s">
        <v>7770</v>
      </c>
      <c r="AA492" t="s">
        <v>7771</v>
      </c>
      <c r="AB492" t="s">
        <v>7772</v>
      </c>
      <c r="AC492" t="s">
        <v>74</v>
      </c>
      <c r="AD492" t="s">
        <v>74</v>
      </c>
      <c r="AE492" t="s">
        <v>74</v>
      </c>
      <c r="AF492" t="s">
        <v>74</v>
      </c>
      <c r="AG492">
        <v>71</v>
      </c>
      <c r="AH492">
        <v>54</v>
      </c>
      <c r="AI492">
        <v>61</v>
      </c>
      <c r="AJ492">
        <v>0</v>
      </c>
      <c r="AK492">
        <v>14</v>
      </c>
      <c r="AL492" t="s">
        <v>1261</v>
      </c>
      <c r="AM492" t="s">
        <v>520</v>
      </c>
      <c r="AN492" t="s">
        <v>1262</v>
      </c>
      <c r="AO492" t="s">
        <v>3753</v>
      </c>
      <c r="AP492" t="s">
        <v>74</v>
      </c>
      <c r="AQ492" t="s">
        <v>74</v>
      </c>
      <c r="AR492" t="s">
        <v>3755</v>
      </c>
      <c r="AS492" t="s">
        <v>3756</v>
      </c>
      <c r="AT492" t="s">
        <v>7758</v>
      </c>
      <c r="AU492">
        <v>2006</v>
      </c>
      <c r="AV492">
        <v>244</v>
      </c>
      <c r="AW492" t="s">
        <v>765</v>
      </c>
      <c r="AX492" t="s">
        <v>74</v>
      </c>
      <c r="AY492" t="s">
        <v>74</v>
      </c>
      <c r="AZ492" t="s">
        <v>74</v>
      </c>
      <c r="BA492" t="s">
        <v>74</v>
      </c>
      <c r="BB492">
        <v>251</v>
      </c>
      <c r="BC492">
        <v>269</v>
      </c>
      <c r="BD492" t="s">
        <v>74</v>
      </c>
      <c r="BE492" t="s">
        <v>7773</v>
      </c>
      <c r="BF492" t="str">
        <f>HYPERLINK("http://dx.doi.org/10.1016/j.epsl.2005.12.037","http://dx.doi.org/10.1016/j.epsl.2005.12.037")</f>
        <v>http://dx.doi.org/10.1016/j.epsl.2005.12.037</v>
      </c>
      <c r="BG492" t="s">
        <v>74</v>
      </c>
      <c r="BH492" t="s">
        <v>74</v>
      </c>
      <c r="BI492">
        <v>19</v>
      </c>
      <c r="BJ492" t="s">
        <v>608</v>
      </c>
      <c r="BK492" t="s">
        <v>97</v>
      </c>
      <c r="BL492" t="s">
        <v>608</v>
      </c>
      <c r="BM492" t="s">
        <v>7760</v>
      </c>
      <c r="BN492" t="s">
        <v>74</v>
      </c>
      <c r="BO492" t="s">
        <v>147</v>
      </c>
      <c r="BP492" t="s">
        <v>74</v>
      </c>
      <c r="BQ492" t="s">
        <v>74</v>
      </c>
      <c r="BR492" t="s">
        <v>100</v>
      </c>
      <c r="BS492" t="s">
        <v>7774</v>
      </c>
      <c r="BT492" t="str">
        <f>HYPERLINK("https%3A%2F%2Fwww.webofscience.com%2Fwos%2Fwoscc%2Ffull-record%2FWOS:000236991300017","View Full Record in Web of Science")</f>
        <v>View Full Record in Web of Science</v>
      </c>
    </row>
    <row r="493" spans="1:72" x14ac:dyDescent="0.15">
      <c r="A493" t="s">
        <v>72</v>
      </c>
      <c r="B493" t="s">
        <v>7775</v>
      </c>
      <c r="C493" t="s">
        <v>74</v>
      </c>
      <c r="D493" t="s">
        <v>74</v>
      </c>
      <c r="E493" t="s">
        <v>74</v>
      </c>
      <c r="F493" t="s">
        <v>7775</v>
      </c>
      <c r="G493" t="s">
        <v>74</v>
      </c>
      <c r="H493" t="s">
        <v>74</v>
      </c>
      <c r="I493" t="s">
        <v>7776</v>
      </c>
      <c r="J493" t="s">
        <v>3745</v>
      </c>
      <c r="K493" t="s">
        <v>74</v>
      </c>
      <c r="L493" t="s">
        <v>74</v>
      </c>
      <c r="M493" t="s">
        <v>78</v>
      </c>
      <c r="N493" t="s">
        <v>79</v>
      </c>
      <c r="O493" t="s">
        <v>74</v>
      </c>
      <c r="P493" t="s">
        <v>74</v>
      </c>
      <c r="Q493" t="s">
        <v>74</v>
      </c>
      <c r="R493" t="s">
        <v>74</v>
      </c>
      <c r="S493" t="s">
        <v>74</v>
      </c>
      <c r="T493" t="s">
        <v>7777</v>
      </c>
      <c r="U493" t="s">
        <v>7778</v>
      </c>
      <c r="V493" t="s">
        <v>7779</v>
      </c>
      <c r="W493" t="s">
        <v>7780</v>
      </c>
      <c r="X493" t="s">
        <v>7781</v>
      </c>
      <c r="Y493" t="s">
        <v>7782</v>
      </c>
      <c r="Z493" t="s">
        <v>7783</v>
      </c>
      <c r="AA493" t="s">
        <v>7784</v>
      </c>
      <c r="AB493" t="s">
        <v>7785</v>
      </c>
      <c r="AC493" t="s">
        <v>74</v>
      </c>
      <c r="AD493" t="s">
        <v>74</v>
      </c>
      <c r="AE493" t="s">
        <v>74</v>
      </c>
      <c r="AF493" t="s">
        <v>74</v>
      </c>
      <c r="AG493">
        <v>36</v>
      </c>
      <c r="AH493">
        <v>26</v>
      </c>
      <c r="AI493">
        <v>26</v>
      </c>
      <c r="AJ493">
        <v>1</v>
      </c>
      <c r="AK493">
        <v>4</v>
      </c>
      <c r="AL493" t="s">
        <v>519</v>
      </c>
      <c r="AM493" t="s">
        <v>520</v>
      </c>
      <c r="AN493" t="s">
        <v>521</v>
      </c>
      <c r="AO493" t="s">
        <v>3753</v>
      </c>
      <c r="AP493" t="s">
        <v>3754</v>
      </c>
      <c r="AQ493" t="s">
        <v>74</v>
      </c>
      <c r="AR493" t="s">
        <v>3755</v>
      </c>
      <c r="AS493" t="s">
        <v>3756</v>
      </c>
      <c r="AT493" t="s">
        <v>7758</v>
      </c>
      <c r="AU493">
        <v>2006</v>
      </c>
      <c r="AV493">
        <v>244</v>
      </c>
      <c r="AW493" t="s">
        <v>765</v>
      </c>
      <c r="AX493" t="s">
        <v>74</v>
      </c>
      <c r="AY493" t="s">
        <v>74</v>
      </c>
      <c r="AZ493" t="s">
        <v>74</v>
      </c>
      <c r="BA493" t="s">
        <v>74</v>
      </c>
      <c r="BB493">
        <v>323</v>
      </c>
      <c r="BC493">
        <v>335</v>
      </c>
      <c r="BD493" t="s">
        <v>74</v>
      </c>
      <c r="BE493" t="s">
        <v>7786</v>
      </c>
      <c r="BF493" t="str">
        <f>HYPERLINK("http://dx.doi.org/10.1016/j.epsl.2006.01.068","http://dx.doi.org/10.1016/j.epsl.2006.01.068")</f>
        <v>http://dx.doi.org/10.1016/j.epsl.2006.01.068</v>
      </c>
      <c r="BG493" t="s">
        <v>74</v>
      </c>
      <c r="BH493" t="s">
        <v>74</v>
      </c>
      <c r="BI493">
        <v>13</v>
      </c>
      <c r="BJ493" t="s">
        <v>608</v>
      </c>
      <c r="BK493" t="s">
        <v>97</v>
      </c>
      <c r="BL493" t="s">
        <v>608</v>
      </c>
      <c r="BM493" t="s">
        <v>7760</v>
      </c>
      <c r="BN493" t="s">
        <v>74</v>
      </c>
      <c r="BO493" t="s">
        <v>74</v>
      </c>
      <c r="BP493" t="s">
        <v>74</v>
      </c>
      <c r="BQ493" t="s">
        <v>74</v>
      </c>
      <c r="BR493" t="s">
        <v>100</v>
      </c>
      <c r="BS493" t="s">
        <v>7787</v>
      </c>
      <c r="BT493" t="str">
        <f>HYPERLINK("https%3A%2F%2Fwww.webofscience.com%2Fwos%2Fwoscc%2Ffull-record%2FWOS:000236991300022","View Full Record in Web of Science")</f>
        <v>View Full Record in Web of Science</v>
      </c>
    </row>
    <row r="494" spans="1:72" x14ac:dyDescent="0.15">
      <c r="A494" t="s">
        <v>72</v>
      </c>
      <c r="B494" t="s">
        <v>7788</v>
      </c>
      <c r="C494" t="s">
        <v>74</v>
      </c>
      <c r="D494" t="s">
        <v>74</v>
      </c>
      <c r="E494" t="s">
        <v>74</v>
      </c>
      <c r="F494" t="s">
        <v>7788</v>
      </c>
      <c r="G494" t="s">
        <v>74</v>
      </c>
      <c r="H494" t="s">
        <v>74</v>
      </c>
      <c r="I494" t="s">
        <v>7789</v>
      </c>
      <c r="J494" t="s">
        <v>3745</v>
      </c>
      <c r="K494" t="s">
        <v>74</v>
      </c>
      <c r="L494" t="s">
        <v>74</v>
      </c>
      <c r="M494" t="s">
        <v>78</v>
      </c>
      <c r="N494" t="s">
        <v>79</v>
      </c>
      <c r="O494" t="s">
        <v>74</v>
      </c>
      <c r="P494" t="s">
        <v>74</v>
      </c>
      <c r="Q494" t="s">
        <v>74</v>
      </c>
      <c r="R494" t="s">
        <v>74</v>
      </c>
      <c r="S494" t="s">
        <v>74</v>
      </c>
      <c r="T494" t="s">
        <v>7790</v>
      </c>
      <c r="U494" t="s">
        <v>7791</v>
      </c>
      <c r="V494" t="s">
        <v>7792</v>
      </c>
      <c r="W494" t="s">
        <v>7793</v>
      </c>
      <c r="X494" t="s">
        <v>7794</v>
      </c>
      <c r="Y494" t="s">
        <v>7795</v>
      </c>
      <c r="Z494" t="s">
        <v>7796</v>
      </c>
      <c r="AA494" t="s">
        <v>74</v>
      </c>
      <c r="AB494" t="s">
        <v>74</v>
      </c>
      <c r="AC494" t="s">
        <v>74</v>
      </c>
      <c r="AD494" t="s">
        <v>74</v>
      </c>
      <c r="AE494" t="s">
        <v>74</v>
      </c>
      <c r="AF494" t="s">
        <v>74</v>
      </c>
      <c r="AG494">
        <v>61</v>
      </c>
      <c r="AH494">
        <v>89</v>
      </c>
      <c r="AI494">
        <v>114</v>
      </c>
      <c r="AJ494">
        <v>0</v>
      </c>
      <c r="AK494">
        <v>29</v>
      </c>
      <c r="AL494" t="s">
        <v>519</v>
      </c>
      <c r="AM494" t="s">
        <v>520</v>
      </c>
      <c r="AN494" t="s">
        <v>521</v>
      </c>
      <c r="AO494" t="s">
        <v>3753</v>
      </c>
      <c r="AP494" t="s">
        <v>3754</v>
      </c>
      <c r="AQ494" t="s">
        <v>74</v>
      </c>
      <c r="AR494" t="s">
        <v>3755</v>
      </c>
      <c r="AS494" t="s">
        <v>3756</v>
      </c>
      <c r="AT494" t="s">
        <v>7758</v>
      </c>
      <c r="AU494">
        <v>2006</v>
      </c>
      <c r="AV494">
        <v>244</v>
      </c>
      <c r="AW494" t="s">
        <v>765</v>
      </c>
      <c r="AX494" t="s">
        <v>74</v>
      </c>
      <c r="AY494" t="s">
        <v>74</v>
      </c>
      <c r="AZ494" t="s">
        <v>74</v>
      </c>
      <c r="BA494" t="s">
        <v>74</v>
      </c>
      <c r="BB494">
        <v>474</v>
      </c>
      <c r="BC494">
        <v>500</v>
      </c>
      <c r="BD494" t="s">
        <v>74</v>
      </c>
      <c r="BE494" t="s">
        <v>7797</v>
      </c>
      <c r="BF494" t="str">
        <f>HYPERLINK("http://dx.doi.org/10.1016/j.epsl.2006.01.032","http://dx.doi.org/10.1016/j.epsl.2006.01.032")</f>
        <v>http://dx.doi.org/10.1016/j.epsl.2006.01.032</v>
      </c>
      <c r="BG494" t="s">
        <v>74</v>
      </c>
      <c r="BH494" t="s">
        <v>74</v>
      </c>
      <c r="BI494">
        <v>27</v>
      </c>
      <c r="BJ494" t="s">
        <v>608</v>
      </c>
      <c r="BK494" t="s">
        <v>97</v>
      </c>
      <c r="BL494" t="s">
        <v>608</v>
      </c>
      <c r="BM494" t="s">
        <v>7760</v>
      </c>
      <c r="BN494" t="s">
        <v>74</v>
      </c>
      <c r="BO494" t="s">
        <v>74</v>
      </c>
      <c r="BP494" t="s">
        <v>74</v>
      </c>
      <c r="BQ494" t="s">
        <v>74</v>
      </c>
      <c r="BR494" t="s">
        <v>100</v>
      </c>
      <c r="BS494" t="s">
        <v>7798</v>
      </c>
      <c r="BT494" t="str">
        <f>HYPERLINK("https%3A%2F%2Fwww.webofscience.com%2Fwos%2Fwoscc%2Ffull-record%2FWOS:000236991300033","View Full Record in Web of Science")</f>
        <v>View Full Record in Web of Science</v>
      </c>
    </row>
    <row r="495" spans="1:72" x14ac:dyDescent="0.15">
      <c r="A495" t="s">
        <v>72</v>
      </c>
      <c r="B495" t="s">
        <v>7799</v>
      </c>
      <c r="C495" t="s">
        <v>74</v>
      </c>
      <c r="D495" t="s">
        <v>74</v>
      </c>
      <c r="E495" t="s">
        <v>74</v>
      </c>
      <c r="F495" t="s">
        <v>7799</v>
      </c>
      <c r="G495" t="s">
        <v>74</v>
      </c>
      <c r="H495" t="s">
        <v>74</v>
      </c>
      <c r="I495" t="s">
        <v>7800</v>
      </c>
      <c r="J495" t="s">
        <v>6137</v>
      </c>
      <c r="K495" t="s">
        <v>74</v>
      </c>
      <c r="L495" t="s">
        <v>74</v>
      </c>
      <c r="M495" t="s">
        <v>78</v>
      </c>
      <c r="N495" t="s">
        <v>79</v>
      </c>
      <c r="O495" t="s">
        <v>74</v>
      </c>
      <c r="P495" t="s">
        <v>74</v>
      </c>
      <c r="Q495" t="s">
        <v>74</v>
      </c>
      <c r="R495" t="s">
        <v>74</v>
      </c>
      <c r="S495" t="s">
        <v>74</v>
      </c>
      <c r="T495" t="s">
        <v>74</v>
      </c>
      <c r="U495" t="s">
        <v>7801</v>
      </c>
      <c r="V495" t="s">
        <v>7802</v>
      </c>
      <c r="W495" t="s">
        <v>7803</v>
      </c>
      <c r="X495" t="s">
        <v>7804</v>
      </c>
      <c r="Y495" t="s">
        <v>7805</v>
      </c>
      <c r="Z495" t="s">
        <v>7806</v>
      </c>
      <c r="AA495" t="s">
        <v>7807</v>
      </c>
      <c r="AB495" t="s">
        <v>7808</v>
      </c>
      <c r="AC495" t="s">
        <v>74</v>
      </c>
      <c r="AD495" t="s">
        <v>74</v>
      </c>
      <c r="AE495" t="s">
        <v>74</v>
      </c>
      <c r="AF495" t="s">
        <v>74</v>
      </c>
      <c r="AG495">
        <v>58</v>
      </c>
      <c r="AH495">
        <v>37</v>
      </c>
      <c r="AI495">
        <v>39</v>
      </c>
      <c r="AJ495">
        <v>1</v>
      </c>
      <c r="AK495">
        <v>30</v>
      </c>
      <c r="AL495" t="s">
        <v>6146</v>
      </c>
      <c r="AM495" t="s">
        <v>88</v>
      </c>
      <c r="AN495" t="s">
        <v>6147</v>
      </c>
      <c r="AO495" t="s">
        <v>6148</v>
      </c>
      <c r="AP495" t="s">
        <v>7809</v>
      </c>
      <c r="AQ495" t="s">
        <v>74</v>
      </c>
      <c r="AR495" t="s">
        <v>6149</v>
      </c>
      <c r="AS495" t="s">
        <v>6150</v>
      </c>
      <c r="AT495" t="s">
        <v>7758</v>
      </c>
      <c r="AU495">
        <v>2006</v>
      </c>
      <c r="AV495">
        <v>40</v>
      </c>
      <c r="AW495">
        <v>8</v>
      </c>
      <c r="AX495" t="s">
        <v>74</v>
      </c>
      <c r="AY495" t="s">
        <v>74</v>
      </c>
      <c r="AZ495" t="s">
        <v>74</v>
      </c>
      <c r="BA495" t="s">
        <v>74</v>
      </c>
      <c r="BB495">
        <v>2826</v>
      </c>
      <c r="BC495">
        <v>2831</v>
      </c>
      <c r="BD495" t="s">
        <v>74</v>
      </c>
      <c r="BE495" t="s">
        <v>7810</v>
      </c>
      <c r="BF495" t="str">
        <f>HYPERLINK("http://dx.doi.org/10.1021/es051920q","http://dx.doi.org/10.1021/es051920q")</f>
        <v>http://dx.doi.org/10.1021/es051920q</v>
      </c>
      <c r="BG495" t="s">
        <v>74</v>
      </c>
      <c r="BH495" t="s">
        <v>74</v>
      </c>
      <c r="BI495">
        <v>6</v>
      </c>
      <c r="BJ495" t="s">
        <v>6152</v>
      </c>
      <c r="BK495" t="s">
        <v>97</v>
      </c>
      <c r="BL495" t="s">
        <v>6153</v>
      </c>
      <c r="BM495" t="s">
        <v>7811</v>
      </c>
      <c r="BN495">
        <v>16683630</v>
      </c>
      <c r="BO495" t="s">
        <v>74</v>
      </c>
      <c r="BP495" t="s">
        <v>74</v>
      </c>
      <c r="BQ495" t="s">
        <v>74</v>
      </c>
      <c r="BR495" t="s">
        <v>100</v>
      </c>
      <c r="BS495" t="s">
        <v>7812</v>
      </c>
      <c r="BT495" t="str">
        <f>HYPERLINK("https%3A%2F%2Fwww.webofscience.com%2Fwos%2Fwoscc%2Ffull-record%2FWOS:000236992700053","View Full Record in Web of Science")</f>
        <v>View Full Record in Web of Science</v>
      </c>
    </row>
    <row r="496" spans="1:72" x14ac:dyDescent="0.15">
      <c r="A496" t="s">
        <v>72</v>
      </c>
      <c r="B496" t="s">
        <v>7813</v>
      </c>
      <c r="C496" t="s">
        <v>74</v>
      </c>
      <c r="D496" t="s">
        <v>74</v>
      </c>
      <c r="E496" t="s">
        <v>74</v>
      </c>
      <c r="F496" t="s">
        <v>7813</v>
      </c>
      <c r="G496" t="s">
        <v>74</v>
      </c>
      <c r="H496" t="s">
        <v>74</v>
      </c>
      <c r="I496" t="s">
        <v>7814</v>
      </c>
      <c r="J496" t="s">
        <v>1748</v>
      </c>
      <c r="K496" t="s">
        <v>74</v>
      </c>
      <c r="L496" t="s">
        <v>74</v>
      </c>
      <c r="M496" t="s">
        <v>78</v>
      </c>
      <c r="N496" t="s">
        <v>79</v>
      </c>
      <c r="O496" t="s">
        <v>74</v>
      </c>
      <c r="P496" t="s">
        <v>74</v>
      </c>
      <c r="Q496" t="s">
        <v>74</v>
      </c>
      <c r="R496" t="s">
        <v>74</v>
      </c>
      <c r="S496" t="s">
        <v>74</v>
      </c>
      <c r="T496" t="s">
        <v>74</v>
      </c>
      <c r="U496" t="s">
        <v>7815</v>
      </c>
      <c r="V496" t="s">
        <v>7816</v>
      </c>
      <c r="W496" t="s">
        <v>7817</v>
      </c>
      <c r="X496" t="s">
        <v>7818</v>
      </c>
      <c r="Y496" t="s">
        <v>7819</v>
      </c>
      <c r="Z496" t="s">
        <v>7820</v>
      </c>
      <c r="AA496" t="s">
        <v>7821</v>
      </c>
      <c r="AB496" t="s">
        <v>7822</v>
      </c>
      <c r="AC496" t="s">
        <v>74</v>
      </c>
      <c r="AD496" t="s">
        <v>74</v>
      </c>
      <c r="AE496" t="s">
        <v>74</v>
      </c>
      <c r="AF496" t="s">
        <v>74</v>
      </c>
      <c r="AG496">
        <v>31</v>
      </c>
      <c r="AH496">
        <v>50</v>
      </c>
      <c r="AI496">
        <v>61</v>
      </c>
      <c r="AJ496">
        <v>1</v>
      </c>
      <c r="AK496">
        <v>18</v>
      </c>
      <c r="AL496" t="s">
        <v>1757</v>
      </c>
      <c r="AM496" t="s">
        <v>88</v>
      </c>
      <c r="AN496" t="s">
        <v>1758</v>
      </c>
      <c r="AO496" t="s">
        <v>1759</v>
      </c>
      <c r="AP496" t="s">
        <v>1760</v>
      </c>
      <c r="AQ496" t="s">
        <v>74</v>
      </c>
      <c r="AR496" t="s">
        <v>1761</v>
      </c>
      <c r="AS496" t="s">
        <v>1762</v>
      </c>
      <c r="AT496" t="s">
        <v>7758</v>
      </c>
      <c r="AU496">
        <v>2006</v>
      </c>
      <c r="AV496">
        <v>33</v>
      </c>
      <c r="AW496">
        <v>7</v>
      </c>
      <c r="AX496" t="s">
        <v>74</v>
      </c>
      <c r="AY496" t="s">
        <v>74</v>
      </c>
      <c r="AZ496" t="s">
        <v>74</v>
      </c>
      <c r="BA496" t="s">
        <v>74</v>
      </c>
      <c r="BB496" t="s">
        <v>74</v>
      </c>
      <c r="BC496" t="s">
        <v>74</v>
      </c>
      <c r="BD496" t="s">
        <v>7823</v>
      </c>
      <c r="BE496" t="s">
        <v>7824</v>
      </c>
      <c r="BF496" t="str">
        <f>HYPERLINK("http://dx.doi.org/10.1029/2006GL025903","http://dx.doi.org/10.1029/2006GL025903")</f>
        <v>http://dx.doi.org/10.1029/2006GL025903</v>
      </c>
      <c r="BG496" t="s">
        <v>74</v>
      </c>
      <c r="BH496" t="s">
        <v>74</v>
      </c>
      <c r="BI496">
        <v>4</v>
      </c>
      <c r="BJ496" t="s">
        <v>527</v>
      </c>
      <c r="BK496" t="s">
        <v>97</v>
      </c>
      <c r="BL496" t="s">
        <v>528</v>
      </c>
      <c r="BM496" t="s">
        <v>7825</v>
      </c>
      <c r="BN496" t="s">
        <v>74</v>
      </c>
      <c r="BO496" t="s">
        <v>1767</v>
      </c>
      <c r="BP496" t="s">
        <v>74</v>
      </c>
      <c r="BQ496" t="s">
        <v>74</v>
      </c>
      <c r="BR496" t="s">
        <v>100</v>
      </c>
      <c r="BS496" t="s">
        <v>7826</v>
      </c>
      <c r="BT496" t="str">
        <f>HYPERLINK("https%3A%2F%2Fwww.webofscience.com%2Fwos%2Fwoscc%2Ffull-record%2FWOS:000237281300008","View Full Record in Web of Science")</f>
        <v>View Full Record in Web of Science</v>
      </c>
    </row>
    <row r="497" spans="1:72" x14ac:dyDescent="0.15">
      <c r="A497" t="s">
        <v>72</v>
      </c>
      <c r="B497" t="s">
        <v>7827</v>
      </c>
      <c r="C497" t="s">
        <v>74</v>
      </c>
      <c r="D497" t="s">
        <v>74</v>
      </c>
      <c r="E497" t="s">
        <v>74</v>
      </c>
      <c r="F497" t="s">
        <v>7827</v>
      </c>
      <c r="G497" t="s">
        <v>74</v>
      </c>
      <c r="H497" t="s">
        <v>74</v>
      </c>
      <c r="I497" t="s">
        <v>7828</v>
      </c>
      <c r="J497" t="s">
        <v>2157</v>
      </c>
      <c r="K497" t="s">
        <v>74</v>
      </c>
      <c r="L497" t="s">
        <v>74</v>
      </c>
      <c r="M497" t="s">
        <v>78</v>
      </c>
      <c r="N497" t="s">
        <v>1226</v>
      </c>
      <c r="O497" t="s">
        <v>7829</v>
      </c>
      <c r="P497" t="s">
        <v>7830</v>
      </c>
      <c r="Q497" t="s">
        <v>7831</v>
      </c>
      <c r="R497" t="s">
        <v>74</v>
      </c>
      <c r="S497" t="s">
        <v>7832</v>
      </c>
      <c r="T497" t="s">
        <v>7833</v>
      </c>
      <c r="U497" t="s">
        <v>7834</v>
      </c>
      <c r="V497" t="s">
        <v>7835</v>
      </c>
      <c r="W497" t="s">
        <v>7836</v>
      </c>
      <c r="X497" t="s">
        <v>7837</v>
      </c>
      <c r="Y497" t="s">
        <v>7838</v>
      </c>
      <c r="Z497" t="s">
        <v>7839</v>
      </c>
      <c r="AA497" t="s">
        <v>74</v>
      </c>
      <c r="AB497" t="s">
        <v>74</v>
      </c>
      <c r="AC497" t="s">
        <v>74</v>
      </c>
      <c r="AD497" t="s">
        <v>74</v>
      </c>
      <c r="AE497" t="s">
        <v>74</v>
      </c>
      <c r="AF497" t="s">
        <v>74</v>
      </c>
      <c r="AG497">
        <v>28</v>
      </c>
      <c r="AH497">
        <v>30</v>
      </c>
      <c r="AI497">
        <v>33</v>
      </c>
      <c r="AJ497">
        <v>0</v>
      </c>
      <c r="AK497">
        <v>7</v>
      </c>
      <c r="AL497" t="s">
        <v>2164</v>
      </c>
      <c r="AM497" t="s">
        <v>557</v>
      </c>
      <c r="AN497" t="s">
        <v>2165</v>
      </c>
      <c r="AO497" t="s">
        <v>2166</v>
      </c>
      <c r="AP497" t="s">
        <v>74</v>
      </c>
      <c r="AQ497" t="s">
        <v>74</v>
      </c>
      <c r="AR497" t="s">
        <v>7840</v>
      </c>
      <c r="AS497" t="s">
        <v>2168</v>
      </c>
      <c r="AT497" t="s">
        <v>7758</v>
      </c>
      <c r="AU497">
        <v>2006</v>
      </c>
      <c r="AV497">
        <v>364</v>
      </c>
      <c r="AW497">
        <v>1841</v>
      </c>
      <c r="AX497" t="s">
        <v>74</v>
      </c>
      <c r="AY497" t="s">
        <v>74</v>
      </c>
      <c r="AZ497" t="s">
        <v>74</v>
      </c>
      <c r="BA497" t="s">
        <v>74</v>
      </c>
      <c r="BB497">
        <v>821</v>
      </c>
      <c r="BC497">
        <v>844</v>
      </c>
      <c r="BD497" t="s">
        <v>74</v>
      </c>
      <c r="BE497" t="s">
        <v>7841</v>
      </c>
      <c r="BF497" t="str">
        <f>HYPERLINK("http://dx.doi.org/10.1098/rsta.2006.1739","http://dx.doi.org/10.1098/rsta.2006.1739")</f>
        <v>http://dx.doi.org/10.1098/rsta.2006.1739</v>
      </c>
      <c r="BG497" t="s">
        <v>74</v>
      </c>
      <c r="BH497" t="s">
        <v>74</v>
      </c>
      <c r="BI497">
        <v>24</v>
      </c>
      <c r="BJ497" t="s">
        <v>1841</v>
      </c>
      <c r="BK497" t="s">
        <v>655</v>
      </c>
      <c r="BL497" t="s">
        <v>1842</v>
      </c>
      <c r="BM497" t="s">
        <v>7842</v>
      </c>
      <c r="BN497">
        <v>16537142</v>
      </c>
      <c r="BO497" t="s">
        <v>74</v>
      </c>
      <c r="BP497" t="s">
        <v>74</v>
      </c>
      <c r="BQ497" t="s">
        <v>74</v>
      </c>
      <c r="BR497" t="s">
        <v>100</v>
      </c>
      <c r="BS497" t="s">
        <v>7843</v>
      </c>
      <c r="BT497" t="str">
        <f>HYPERLINK("https%3A%2F%2Fwww.webofscience.com%2Fwos%2Fwoscc%2Ffull-record%2FWOS:000236278700006","View Full Record in Web of Science")</f>
        <v>View Full Record in Web of Science</v>
      </c>
    </row>
    <row r="498" spans="1:72" x14ac:dyDescent="0.15">
      <c r="A498" t="s">
        <v>72</v>
      </c>
      <c r="B498" t="s">
        <v>7844</v>
      </c>
      <c r="C498" t="s">
        <v>74</v>
      </c>
      <c r="D498" t="s">
        <v>74</v>
      </c>
      <c r="E498" t="s">
        <v>74</v>
      </c>
      <c r="F498" t="s">
        <v>7844</v>
      </c>
      <c r="G498" t="s">
        <v>74</v>
      </c>
      <c r="H498" t="s">
        <v>74</v>
      </c>
      <c r="I498" t="s">
        <v>7845</v>
      </c>
      <c r="J498" t="s">
        <v>2157</v>
      </c>
      <c r="K498" t="s">
        <v>74</v>
      </c>
      <c r="L498" t="s">
        <v>74</v>
      </c>
      <c r="M498" t="s">
        <v>78</v>
      </c>
      <c r="N498" t="s">
        <v>1226</v>
      </c>
      <c r="O498" t="s">
        <v>7829</v>
      </c>
      <c r="P498" t="s">
        <v>7830</v>
      </c>
      <c r="Q498" t="s">
        <v>7831</v>
      </c>
      <c r="R498" t="s">
        <v>74</v>
      </c>
      <c r="S498" t="s">
        <v>7832</v>
      </c>
      <c r="T498" t="s">
        <v>7846</v>
      </c>
      <c r="U498" t="s">
        <v>7847</v>
      </c>
      <c r="V498" t="s">
        <v>7848</v>
      </c>
      <c r="W498" t="s">
        <v>7849</v>
      </c>
      <c r="X498" t="s">
        <v>7850</v>
      </c>
      <c r="Y498" t="s">
        <v>7851</v>
      </c>
      <c r="Z498" t="s">
        <v>7852</v>
      </c>
      <c r="AA498" t="s">
        <v>7853</v>
      </c>
      <c r="AB498" t="s">
        <v>7854</v>
      </c>
      <c r="AC498" t="s">
        <v>7855</v>
      </c>
      <c r="AD498" t="s">
        <v>2873</v>
      </c>
      <c r="AE498" t="s">
        <v>74</v>
      </c>
      <c r="AF498" t="s">
        <v>74</v>
      </c>
      <c r="AG498">
        <v>35</v>
      </c>
      <c r="AH498">
        <v>47</v>
      </c>
      <c r="AI498">
        <v>50</v>
      </c>
      <c r="AJ498">
        <v>1</v>
      </c>
      <c r="AK498">
        <v>5</v>
      </c>
      <c r="AL498" t="s">
        <v>2185</v>
      </c>
      <c r="AM498" t="s">
        <v>557</v>
      </c>
      <c r="AN498" t="s">
        <v>2165</v>
      </c>
      <c r="AO498" t="s">
        <v>2166</v>
      </c>
      <c r="AP498" t="s">
        <v>2186</v>
      </c>
      <c r="AQ498" t="s">
        <v>74</v>
      </c>
      <c r="AR498" t="s">
        <v>2167</v>
      </c>
      <c r="AS498" t="s">
        <v>2168</v>
      </c>
      <c r="AT498" t="s">
        <v>7758</v>
      </c>
      <c r="AU498">
        <v>2006</v>
      </c>
      <c r="AV498">
        <v>364</v>
      </c>
      <c r="AW498">
        <v>1841</v>
      </c>
      <c r="AX498" t="s">
        <v>74</v>
      </c>
      <c r="AY498" t="s">
        <v>74</v>
      </c>
      <c r="AZ498" t="s">
        <v>74</v>
      </c>
      <c r="BA498" t="s">
        <v>74</v>
      </c>
      <c r="BB498">
        <v>885</v>
      </c>
      <c r="BC498">
        <v>901</v>
      </c>
      <c r="BD498" t="s">
        <v>74</v>
      </c>
      <c r="BE498" t="s">
        <v>7856</v>
      </c>
      <c r="BF498" t="str">
        <f>HYPERLINK("http://dx.doi.org/10.1098/rsta.2006.1744","http://dx.doi.org/10.1098/rsta.2006.1744")</f>
        <v>http://dx.doi.org/10.1098/rsta.2006.1744</v>
      </c>
      <c r="BG498" t="s">
        <v>74</v>
      </c>
      <c r="BH498" t="s">
        <v>74</v>
      </c>
      <c r="BI498">
        <v>17</v>
      </c>
      <c r="BJ498" t="s">
        <v>1841</v>
      </c>
      <c r="BK498" t="s">
        <v>668</v>
      </c>
      <c r="BL498" t="s">
        <v>1842</v>
      </c>
      <c r="BM498" t="s">
        <v>7842</v>
      </c>
      <c r="BN498">
        <v>16537146</v>
      </c>
      <c r="BO498" t="s">
        <v>2216</v>
      </c>
      <c r="BP498" t="s">
        <v>74</v>
      </c>
      <c r="BQ498" t="s">
        <v>74</v>
      </c>
      <c r="BR498" t="s">
        <v>100</v>
      </c>
      <c r="BS498" t="s">
        <v>7857</v>
      </c>
      <c r="BT498" t="str">
        <f>HYPERLINK("https%3A%2F%2Fwww.webofscience.com%2Fwos%2Fwoscc%2Ffull-record%2FWOS:000236278700010","View Full Record in Web of Science")</f>
        <v>View Full Record in Web of Science</v>
      </c>
    </row>
    <row r="499" spans="1:72" x14ac:dyDescent="0.15">
      <c r="A499" t="s">
        <v>72</v>
      </c>
      <c r="B499" t="s">
        <v>7858</v>
      </c>
      <c r="C499" t="s">
        <v>74</v>
      </c>
      <c r="D499" t="s">
        <v>74</v>
      </c>
      <c r="E499" t="s">
        <v>74</v>
      </c>
      <c r="F499" t="s">
        <v>7858</v>
      </c>
      <c r="G499" t="s">
        <v>74</v>
      </c>
      <c r="H499" t="s">
        <v>74</v>
      </c>
      <c r="I499" t="s">
        <v>7859</v>
      </c>
      <c r="J499" t="s">
        <v>2157</v>
      </c>
      <c r="K499" t="s">
        <v>74</v>
      </c>
      <c r="L499" t="s">
        <v>74</v>
      </c>
      <c r="M499" t="s">
        <v>78</v>
      </c>
      <c r="N499" t="s">
        <v>1226</v>
      </c>
      <c r="O499" t="s">
        <v>7829</v>
      </c>
      <c r="P499" t="s">
        <v>7830</v>
      </c>
      <c r="Q499" t="s">
        <v>7831</v>
      </c>
      <c r="R499" t="s">
        <v>74</v>
      </c>
      <c r="S499" t="s">
        <v>7832</v>
      </c>
      <c r="T499" t="s">
        <v>7860</v>
      </c>
      <c r="U499" t="s">
        <v>7861</v>
      </c>
      <c r="V499" t="s">
        <v>7862</v>
      </c>
      <c r="W499" t="s">
        <v>7863</v>
      </c>
      <c r="X499" t="s">
        <v>7864</v>
      </c>
      <c r="Y499" t="s">
        <v>7865</v>
      </c>
      <c r="Z499" t="s">
        <v>7866</v>
      </c>
      <c r="AA499" t="s">
        <v>74</v>
      </c>
      <c r="AB499" t="s">
        <v>7867</v>
      </c>
      <c r="AC499" t="s">
        <v>7868</v>
      </c>
      <c r="AD499" t="s">
        <v>413</v>
      </c>
      <c r="AE499" t="s">
        <v>74</v>
      </c>
      <c r="AF499" t="s">
        <v>74</v>
      </c>
      <c r="AG499">
        <v>75</v>
      </c>
      <c r="AH499">
        <v>26</v>
      </c>
      <c r="AI499">
        <v>26</v>
      </c>
      <c r="AJ499">
        <v>0</v>
      </c>
      <c r="AK499">
        <v>7</v>
      </c>
      <c r="AL499" t="s">
        <v>2185</v>
      </c>
      <c r="AM499" t="s">
        <v>557</v>
      </c>
      <c r="AN499" t="s">
        <v>2165</v>
      </c>
      <c r="AO499" t="s">
        <v>2166</v>
      </c>
      <c r="AP499" t="s">
        <v>2186</v>
      </c>
      <c r="AQ499" t="s">
        <v>74</v>
      </c>
      <c r="AR499" t="s">
        <v>2167</v>
      </c>
      <c r="AS499" t="s">
        <v>2168</v>
      </c>
      <c r="AT499" t="s">
        <v>7758</v>
      </c>
      <c r="AU499">
        <v>2006</v>
      </c>
      <c r="AV499">
        <v>364</v>
      </c>
      <c r="AW499">
        <v>1841</v>
      </c>
      <c r="AX499" t="s">
        <v>74</v>
      </c>
      <c r="AY499" t="s">
        <v>74</v>
      </c>
      <c r="AZ499" t="s">
        <v>74</v>
      </c>
      <c r="BA499" t="s">
        <v>74</v>
      </c>
      <c r="BB499">
        <v>949</v>
      </c>
      <c r="BC499">
        <v>972</v>
      </c>
      <c r="BD499" t="s">
        <v>74</v>
      </c>
      <c r="BE499" t="s">
        <v>7869</v>
      </c>
      <c r="BF499" t="str">
        <f>HYPERLINK("http://dx.doi.org/10.1098/rsta.2006.1748","http://dx.doi.org/10.1098/rsta.2006.1748")</f>
        <v>http://dx.doi.org/10.1098/rsta.2006.1748</v>
      </c>
      <c r="BG499" t="s">
        <v>74</v>
      </c>
      <c r="BH499" t="s">
        <v>74</v>
      </c>
      <c r="BI499">
        <v>24</v>
      </c>
      <c r="BJ499" t="s">
        <v>1841</v>
      </c>
      <c r="BK499" t="s">
        <v>668</v>
      </c>
      <c r="BL499" t="s">
        <v>1842</v>
      </c>
      <c r="BM499" t="s">
        <v>7842</v>
      </c>
      <c r="BN499">
        <v>16537150</v>
      </c>
      <c r="BO499" t="s">
        <v>74</v>
      </c>
      <c r="BP499" t="s">
        <v>74</v>
      </c>
      <c r="BQ499" t="s">
        <v>74</v>
      </c>
      <c r="BR499" t="s">
        <v>100</v>
      </c>
      <c r="BS499" t="s">
        <v>7870</v>
      </c>
      <c r="BT499" t="str">
        <f>HYPERLINK("https%3A%2F%2Fwww.webofscience.com%2Fwos%2Fwoscc%2Ffull-record%2FWOS:000236278700014","View Full Record in Web of Science")</f>
        <v>View Full Record in Web of Science</v>
      </c>
    </row>
    <row r="500" spans="1:72" x14ac:dyDescent="0.15">
      <c r="A500" t="s">
        <v>72</v>
      </c>
      <c r="B500" t="s">
        <v>7871</v>
      </c>
      <c r="C500" t="s">
        <v>74</v>
      </c>
      <c r="D500" t="s">
        <v>74</v>
      </c>
      <c r="E500" t="s">
        <v>74</v>
      </c>
      <c r="F500" t="s">
        <v>7872</v>
      </c>
      <c r="G500" t="s">
        <v>74</v>
      </c>
      <c r="H500" t="s">
        <v>74</v>
      </c>
      <c r="I500" t="s">
        <v>7873</v>
      </c>
      <c r="J500" t="s">
        <v>3922</v>
      </c>
      <c r="K500" t="s">
        <v>74</v>
      </c>
      <c r="L500" t="s">
        <v>74</v>
      </c>
      <c r="M500" t="s">
        <v>78</v>
      </c>
      <c r="N500" t="s">
        <v>79</v>
      </c>
      <c r="O500" t="s">
        <v>74</v>
      </c>
      <c r="P500" t="s">
        <v>74</v>
      </c>
      <c r="Q500" t="s">
        <v>74</v>
      </c>
      <c r="R500" t="s">
        <v>74</v>
      </c>
      <c r="S500" t="s">
        <v>74</v>
      </c>
      <c r="T500" t="s">
        <v>7874</v>
      </c>
      <c r="U500" t="s">
        <v>7875</v>
      </c>
      <c r="V500" t="s">
        <v>7876</v>
      </c>
      <c r="W500" t="s">
        <v>7877</v>
      </c>
      <c r="X500" t="s">
        <v>5934</v>
      </c>
      <c r="Y500" t="s">
        <v>7878</v>
      </c>
      <c r="Z500" t="s">
        <v>7879</v>
      </c>
      <c r="AA500" t="s">
        <v>74</v>
      </c>
      <c r="AB500" t="s">
        <v>74</v>
      </c>
      <c r="AC500" t="s">
        <v>74</v>
      </c>
      <c r="AD500" t="s">
        <v>74</v>
      </c>
      <c r="AE500" t="s">
        <v>74</v>
      </c>
      <c r="AF500" t="s">
        <v>74</v>
      </c>
      <c r="AG500">
        <v>22</v>
      </c>
      <c r="AH500">
        <v>3</v>
      </c>
      <c r="AI500">
        <v>3</v>
      </c>
      <c r="AJ500">
        <v>0</v>
      </c>
      <c r="AK500">
        <v>3</v>
      </c>
      <c r="AL500" t="s">
        <v>914</v>
      </c>
      <c r="AM500" t="s">
        <v>915</v>
      </c>
      <c r="AN500" t="s">
        <v>916</v>
      </c>
      <c r="AO500" t="s">
        <v>3928</v>
      </c>
      <c r="AP500" t="s">
        <v>74</v>
      </c>
      <c r="AQ500" t="s">
        <v>74</v>
      </c>
      <c r="AR500" t="s">
        <v>3929</v>
      </c>
      <c r="AS500" t="s">
        <v>3930</v>
      </c>
      <c r="AT500" t="s">
        <v>7880</v>
      </c>
      <c r="AU500">
        <v>2006</v>
      </c>
      <c r="AV500">
        <v>90</v>
      </c>
      <c r="AW500">
        <v>7</v>
      </c>
      <c r="AX500" t="s">
        <v>74</v>
      </c>
      <c r="AY500" t="s">
        <v>74</v>
      </c>
      <c r="AZ500" t="s">
        <v>74</v>
      </c>
      <c r="BA500" t="s">
        <v>74</v>
      </c>
      <c r="BB500">
        <v>978</v>
      </c>
      <c r="BC500">
        <v>984</v>
      </c>
      <c r="BD500" t="s">
        <v>74</v>
      </c>
      <c r="BE500" t="s">
        <v>74</v>
      </c>
      <c r="BF500" t="s">
        <v>74</v>
      </c>
      <c r="BG500" t="s">
        <v>74</v>
      </c>
      <c r="BH500" t="s">
        <v>74</v>
      </c>
      <c r="BI500">
        <v>7</v>
      </c>
      <c r="BJ500" t="s">
        <v>1841</v>
      </c>
      <c r="BK500" t="s">
        <v>97</v>
      </c>
      <c r="BL500" t="s">
        <v>1842</v>
      </c>
      <c r="BM500" t="s">
        <v>7881</v>
      </c>
      <c r="BN500" t="s">
        <v>74</v>
      </c>
      <c r="BO500" t="s">
        <v>74</v>
      </c>
      <c r="BP500" t="s">
        <v>74</v>
      </c>
      <c r="BQ500" t="s">
        <v>74</v>
      </c>
      <c r="BR500" t="s">
        <v>100</v>
      </c>
      <c r="BS500" t="s">
        <v>7882</v>
      </c>
      <c r="BT500" t="str">
        <f>HYPERLINK("https%3A%2F%2Fwww.webofscience.com%2Fwos%2Fwoscc%2Ffull-record%2FWOS:000238301100026","View Full Record in Web of Science")</f>
        <v>View Full Record in Web of Science</v>
      </c>
    </row>
    <row r="501" spans="1:72" x14ac:dyDescent="0.15">
      <c r="A501" t="s">
        <v>72</v>
      </c>
      <c r="B501" t="s">
        <v>7883</v>
      </c>
      <c r="C501" t="s">
        <v>74</v>
      </c>
      <c r="D501" t="s">
        <v>74</v>
      </c>
      <c r="E501" t="s">
        <v>74</v>
      </c>
      <c r="F501" t="s">
        <v>7883</v>
      </c>
      <c r="G501" t="s">
        <v>74</v>
      </c>
      <c r="H501" t="s">
        <v>74</v>
      </c>
      <c r="I501" t="s">
        <v>7884</v>
      </c>
      <c r="J501" t="s">
        <v>3877</v>
      </c>
      <c r="K501" t="s">
        <v>74</v>
      </c>
      <c r="L501" t="s">
        <v>74</v>
      </c>
      <c r="M501" t="s">
        <v>78</v>
      </c>
      <c r="N501" t="s">
        <v>79</v>
      </c>
      <c r="O501" t="s">
        <v>74</v>
      </c>
      <c r="P501" t="s">
        <v>74</v>
      </c>
      <c r="Q501" t="s">
        <v>74</v>
      </c>
      <c r="R501" t="s">
        <v>74</v>
      </c>
      <c r="S501" t="s">
        <v>74</v>
      </c>
      <c r="T501" t="s">
        <v>74</v>
      </c>
      <c r="U501" t="s">
        <v>7885</v>
      </c>
      <c r="V501" t="s">
        <v>7886</v>
      </c>
      <c r="W501" t="s">
        <v>7887</v>
      </c>
      <c r="X501" t="s">
        <v>7888</v>
      </c>
      <c r="Y501" t="s">
        <v>7889</v>
      </c>
      <c r="Z501" t="s">
        <v>7890</v>
      </c>
      <c r="AA501" t="s">
        <v>7891</v>
      </c>
      <c r="AB501" t="s">
        <v>7892</v>
      </c>
      <c r="AC501" t="s">
        <v>2531</v>
      </c>
      <c r="AD501" t="s">
        <v>413</v>
      </c>
      <c r="AE501" t="s">
        <v>74</v>
      </c>
      <c r="AF501" t="s">
        <v>74</v>
      </c>
      <c r="AG501">
        <v>65</v>
      </c>
      <c r="AH501">
        <v>140</v>
      </c>
      <c r="AI501">
        <v>153</v>
      </c>
      <c r="AJ501">
        <v>1</v>
      </c>
      <c r="AK501">
        <v>34</v>
      </c>
      <c r="AL501" t="s">
        <v>1757</v>
      </c>
      <c r="AM501" t="s">
        <v>88</v>
      </c>
      <c r="AN501" t="s">
        <v>1758</v>
      </c>
      <c r="AO501" t="s">
        <v>3886</v>
      </c>
      <c r="AP501" t="s">
        <v>3887</v>
      </c>
      <c r="AQ501" t="s">
        <v>74</v>
      </c>
      <c r="AR501" t="s">
        <v>3888</v>
      </c>
      <c r="AS501" t="s">
        <v>3889</v>
      </c>
      <c r="AT501" t="s">
        <v>7893</v>
      </c>
      <c r="AU501">
        <v>2006</v>
      </c>
      <c r="AV501">
        <v>20</v>
      </c>
      <c r="AW501">
        <v>2</v>
      </c>
      <c r="AX501" t="s">
        <v>74</v>
      </c>
      <c r="AY501" t="s">
        <v>74</v>
      </c>
      <c r="AZ501" t="s">
        <v>74</v>
      </c>
      <c r="BA501" t="s">
        <v>74</v>
      </c>
      <c r="BB501" t="s">
        <v>74</v>
      </c>
      <c r="BC501" t="s">
        <v>74</v>
      </c>
      <c r="BD501" t="s">
        <v>7894</v>
      </c>
      <c r="BE501" t="s">
        <v>7895</v>
      </c>
      <c r="BF501" t="str">
        <f>HYPERLINK("http://dx.doi.org/10.1029/2005GB002511","http://dx.doi.org/10.1029/2005GB002511")</f>
        <v>http://dx.doi.org/10.1029/2005GB002511</v>
      </c>
      <c r="BG501" t="s">
        <v>74</v>
      </c>
      <c r="BH501" t="s">
        <v>74</v>
      </c>
      <c r="BI501">
        <v>18</v>
      </c>
      <c r="BJ501" t="s">
        <v>3892</v>
      </c>
      <c r="BK501" t="s">
        <v>97</v>
      </c>
      <c r="BL501" t="s">
        <v>3893</v>
      </c>
      <c r="BM501" t="s">
        <v>7896</v>
      </c>
      <c r="BN501" t="s">
        <v>74</v>
      </c>
      <c r="BO501" t="s">
        <v>1767</v>
      </c>
      <c r="BP501" t="s">
        <v>74</v>
      </c>
      <c r="BQ501" t="s">
        <v>74</v>
      </c>
      <c r="BR501" t="s">
        <v>100</v>
      </c>
      <c r="BS501" t="s">
        <v>7897</v>
      </c>
      <c r="BT501" t="str">
        <f>HYPERLINK("https%3A%2F%2Fwww.webofscience.com%2Fwos%2Fwoscc%2Ffull-record%2FWOS:000236879700001","View Full Record in Web of Science")</f>
        <v>View Full Record in Web of Science</v>
      </c>
    </row>
    <row r="502" spans="1:72" x14ac:dyDescent="0.15">
      <c r="A502" t="s">
        <v>72</v>
      </c>
      <c r="B502" t="s">
        <v>1279</v>
      </c>
      <c r="C502" t="s">
        <v>74</v>
      </c>
      <c r="D502" t="s">
        <v>74</v>
      </c>
      <c r="E502" t="s">
        <v>74</v>
      </c>
      <c r="F502" t="s">
        <v>1279</v>
      </c>
      <c r="G502" t="s">
        <v>74</v>
      </c>
      <c r="H502" t="s">
        <v>74</v>
      </c>
      <c r="I502" t="s">
        <v>7898</v>
      </c>
      <c r="J502" t="s">
        <v>1981</v>
      </c>
      <c r="K502" t="s">
        <v>74</v>
      </c>
      <c r="L502" t="s">
        <v>74</v>
      </c>
      <c r="M502" t="s">
        <v>78</v>
      </c>
      <c r="N502" t="s">
        <v>1282</v>
      </c>
      <c r="O502" t="s">
        <v>74</v>
      </c>
      <c r="P502" t="s">
        <v>74</v>
      </c>
      <c r="Q502" t="s">
        <v>74</v>
      </c>
      <c r="R502" t="s">
        <v>74</v>
      </c>
      <c r="S502" t="s">
        <v>74</v>
      </c>
      <c r="T502" t="s">
        <v>74</v>
      </c>
      <c r="U502" t="s">
        <v>74</v>
      </c>
      <c r="V502" t="s">
        <v>74</v>
      </c>
      <c r="W502" t="s">
        <v>74</v>
      </c>
      <c r="X502" t="s">
        <v>74</v>
      </c>
      <c r="Y502" t="s">
        <v>74</v>
      </c>
      <c r="Z502" t="s">
        <v>74</v>
      </c>
      <c r="AA502" t="s">
        <v>74</v>
      </c>
      <c r="AB502" t="s">
        <v>74</v>
      </c>
      <c r="AC502" t="s">
        <v>74</v>
      </c>
      <c r="AD502" t="s">
        <v>74</v>
      </c>
      <c r="AE502" t="s">
        <v>74</v>
      </c>
      <c r="AF502" t="s">
        <v>74</v>
      </c>
      <c r="AG502">
        <v>0</v>
      </c>
      <c r="AH502">
        <v>0</v>
      </c>
      <c r="AI502">
        <v>0</v>
      </c>
      <c r="AJ502">
        <v>0</v>
      </c>
      <c r="AK502">
        <v>1</v>
      </c>
      <c r="AL502" t="s">
        <v>1982</v>
      </c>
      <c r="AM502" t="s">
        <v>1983</v>
      </c>
      <c r="AN502" t="s">
        <v>1984</v>
      </c>
      <c r="AO502" t="s">
        <v>1985</v>
      </c>
      <c r="AP502" t="s">
        <v>74</v>
      </c>
      <c r="AQ502" t="s">
        <v>74</v>
      </c>
      <c r="AR502" t="s">
        <v>1986</v>
      </c>
      <c r="AS502" t="s">
        <v>1987</v>
      </c>
      <c r="AT502" t="s">
        <v>7893</v>
      </c>
      <c r="AU502">
        <v>2006</v>
      </c>
      <c r="AV502">
        <v>190</v>
      </c>
      <c r="AW502">
        <v>2546</v>
      </c>
      <c r="AX502" t="s">
        <v>74</v>
      </c>
      <c r="AY502" t="s">
        <v>74</v>
      </c>
      <c r="AZ502" t="s">
        <v>74</v>
      </c>
      <c r="BA502" t="s">
        <v>74</v>
      </c>
      <c r="BB502">
        <v>7</v>
      </c>
      <c r="BC502">
        <v>7</v>
      </c>
      <c r="BD502" t="s">
        <v>74</v>
      </c>
      <c r="BE502" t="s">
        <v>74</v>
      </c>
      <c r="BF502" t="s">
        <v>74</v>
      </c>
      <c r="BG502" t="s">
        <v>74</v>
      </c>
      <c r="BH502" t="s">
        <v>74</v>
      </c>
      <c r="BI502">
        <v>1</v>
      </c>
      <c r="BJ502" t="s">
        <v>1841</v>
      </c>
      <c r="BK502" t="s">
        <v>97</v>
      </c>
      <c r="BL502" t="s">
        <v>1842</v>
      </c>
      <c r="BM502" t="s">
        <v>7899</v>
      </c>
      <c r="BN502" t="s">
        <v>74</v>
      </c>
      <c r="BO502" t="s">
        <v>74</v>
      </c>
      <c r="BP502" t="s">
        <v>74</v>
      </c>
      <c r="BQ502" t="s">
        <v>74</v>
      </c>
      <c r="BR502" t="s">
        <v>100</v>
      </c>
      <c r="BS502" t="s">
        <v>7900</v>
      </c>
      <c r="BT502" t="str">
        <f>HYPERLINK("https%3A%2F%2Fwww.webofscience.com%2Fwos%2Fwoscc%2Ffull-record%2FWOS:000236712800007","View Full Record in Web of Science")</f>
        <v>View Full Record in Web of Science</v>
      </c>
    </row>
    <row r="503" spans="1:72" x14ac:dyDescent="0.15">
      <c r="A503" t="s">
        <v>72</v>
      </c>
      <c r="B503" t="s">
        <v>7901</v>
      </c>
      <c r="C503" t="s">
        <v>74</v>
      </c>
      <c r="D503" t="s">
        <v>74</v>
      </c>
      <c r="E503" t="s">
        <v>74</v>
      </c>
      <c r="F503" t="s">
        <v>7901</v>
      </c>
      <c r="G503" t="s">
        <v>74</v>
      </c>
      <c r="H503" t="s">
        <v>74</v>
      </c>
      <c r="I503" t="s">
        <v>7902</v>
      </c>
      <c r="J503" t="s">
        <v>7903</v>
      </c>
      <c r="K503" t="s">
        <v>74</v>
      </c>
      <c r="L503" t="s">
        <v>74</v>
      </c>
      <c r="M503" t="s">
        <v>78</v>
      </c>
      <c r="N503" t="s">
        <v>79</v>
      </c>
      <c r="O503" t="s">
        <v>74</v>
      </c>
      <c r="P503" t="s">
        <v>74</v>
      </c>
      <c r="Q503" t="s">
        <v>74</v>
      </c>
      <c r="R503" t="s">
        <v>74</v>
      </c>
      <c r="S503" t="s">
        <v>74</v>
      </c>
      <c r="T503" t="s">
        <v>74</v>
      </c>
      <c r="U503" t="s">
        <v>7904</v>
      </c>
      <c r="V503" t="s">
        <v>7905</v>
      </c>
      <c r="W503" t="s">
        <v>7906</v>
      </c>
      <c r="X503" t="s">
        <v>3866</v>
      </c>
      <c r="Y503" t="s">
        <v>7907</v>
      </c>
      <c r="Z503" t="s">
        <v>7908</v>
      </c>
      <c r="AA503" t="s">
        <v>7909</v>
      </c>
      <c r="AB503" t="s">
        <v>7910</v>
      </c>
      <c r="AC503" t="s">
        <v>74</v>
      </c>
      <c r="AD503" t="s">
        <v>74</v>
      </c>
      <c r="AE503" t="s">
        <v>74</v>
      </c>
      <c r="AF503" t="s">
        <v>74</v>
      </c>
      <c r="AG503">
        <v>58</v>
      </c>
      <c r="AH503">
        <v>22</v>
      </c>
      <c r="AI503">
        <v>24</v>
      </c>
      <c r="AJ503">
        <v>0</v>
      </c>
      <c r="AK503">
        <v>16</v>
      </c>
      <c r="AL503" t="s">
        <v>7382</v>
      </c>
      <c r="AM503" t="s">
        <v>7383</v>
      </c>
      <c r="AN503" t="s">
        <v>7911</v>
      </c>
      <c r="AO503" t="s">
        <v>7912</v>
      </c>
      <c r="AP503" t="s">
        <v>7913</v>
      </c>
      <c r="AQ503" t="s">
        <v>74</v>
      </c>
      <c r="AR503" t="s">
        <v>7914</v>
      </c>
      <c r="AS503" t="s">
        <v>7915</v>
      </c>
      <c r="AT503" t="s">
        <v>7916</v>
      </c>
      <c r="AU503">
        <v>2006</v>
      </c>
      <c r="AV503">
        <v>124</v>
      </c>
      <c r="AW503">
        <v>13</v>
      </c>
      <c r="AX503" t="s">
        <v>74</v>
      </c>
      <c r="AY503" t="s">
        <v>74</v>
      </c>
      <c r="AZ503" t="s">
        <v>74</v>
      </c>
      <c r="BA503" t="s">
        <v>74</v>
      </c>
      <c r="BB503" t="s">
        <v>74</v>
      </c>
      <c r="BC503" t="s">
        <v>74</v>
      </c>
      <c r="BD503">
        <v>134304</v>
      </c>
      <c r="BE503" t="s">
        <v>7917</v>
      </c>
      <c r="BF503" t="str">
        <f>HYPERLINK("http://dx.doi.org/10.1063/1.2173265","http://dx.doi.org/10.1063/1.2173265")</f>
        <v>http://dx.doi.org/10.1063/1.2173265</v>
      </c>
      <c r="BG503" t="s">
        <v>74</v>
      </c>
      <c r="BH503" t="s">
        <v>74</v>
      </c>
      <c r="BI503">
        <v>8</v>
      </c>
      <c r="BJ503" t="s">
        <v>7918</v>
      </c>
      <c r="BK503" t="s">
        <v>97</v>
      </c>
      <c r="BL503" t="s">
        <v>7919</v>
      </c>
      <c r="BM503" t="s">
        <v>7920</v>
      </c>
      <c r="BN503">
        <v>16613452</v>
      </c>
      <c r="BO503" t="s">
        <v>74</v>
      </c>
      <c r="BP503" t="s">
        <v>74</v>
      </c>
      <c r="BQ503" t="s">
        <v>74</v>
      </c>
      <c r="BR503" t="s">
        <v>100</v>
      </c>
      <c r="BS503" t="s">
        <v>7921</v>
      </c>
      <c r="BT503" t="str">
        <f>HYPERLINK("https%3A%2F%2Fwww.webofscience.com%2Fwos%2Fwoscc%2Ffull-record%2FWOS:000236612300014","View Full Record in Web of Science")</f>
        <v>View Full Record in Web of Science</v>
      </c>
    </row>
    <row r="504" spans="1:72" x14ac:dyDescent="0.15">
      <c r="A504" t="s">
        <v>72</v>
      </c>
      <c r="B504" t="s">
        <v>7922</v>
      </c>
      <c r="C504" t="s">
        <v>74</v>
      </c>
      <c r="D504" t="s">
        <v>74</v>
      </c>
      <c r="E504" t="s">
        <v>74</v>
      </c>
      <c r="F504" t="s">
        <v>7922</v>
      </c>
      <c r="G504" t="s">
        <v>74</v>
      </c>
      <c r="H504" t="s">
        <v>74</v>
      </c>
      <c r="I504" t="s">
        <v>7923</v>
      </c>
      <c r="J504" t="s">
        <v>1943</v>
      </c>
      <c r="K504" t="s">
        <v>74</v>
      </c>
      <c r="L504" t="s">
        <v>74</v>
      </c>
      <c r="M504" t="s">
        <v>78</v>
      </c>
      <c r="N504" t="s">
        <v>79</v>
      </c>
      <c r="O504" t="s">
        <v>74</v>
      </c>
      <c r="P504" t="s">
        <v>74</v>
      </c>
      <c r="Q504" t="s">
        <v>74</v>
      </c>
      <c r="R504" t="s">
        <v>74</v>
      </c>
      <c r="S504" t="s">
        <v>74</v>
      </c>
      <c r="T504" t="s">
        <v>74</v>
      </c>
      <c r="U504" t="s">
        <v>7924</v>
      </c>
      <c r="V504" t="s">
        <v>7925</v>
      </c>
      <c r="W504" t="s">
        <v>7926</v>
      </c>
      <c r="X504" t="s">
        <v>7927</v>
      </c>
      <c r="Y504" t="s">
        <v>7928</v>
      </c>
      <c r="Z504" t="s">
        <v>7929</v>
      </c>
      <c r="AA504" t="s">
        <v>74</v>
      </c>
      <c r="AB504" t="s">
        <v>7930</v>
      </c>
      <c r="AC504" t="s">
        <v>74</v>
      </c>
      <c r="AD504" t="s">
        <v>74</v>
      </c>
      <c r="AE504" t="s">
        <v>74</v>
      </c>
      <c r="AF504" t="s">
        <v>74</v>
      </c>
      <c r="AG504">
        <v>62</v>
      </c>
      <c r="AH504">
        <v>38</v>
      </c>
      <c r="AI504">
        <v>42</v>
      </c>
      <c r="AJ504">
        <v>0</v>
      </c>
      <c r="AK504">
        <v>16</v>
      </c>
      <c r="AL504" t="s">
        <v>1757</v>
      </c>
      <c r="AM504" t="s">
        <v>88</v>
      </c>
      <c r="AN504" t="s">
        <v>1758</v>
      </c>
      <c r="AO504" t="s">
        <v>1950</v>
      </c>
      <c r="AP504" t="s">
        <v>1951</v>
      </c>
      <c r="AQ504" t="s">
        <v>74</v>
      </c>
      <c r="AR504" t="s">
        <v>1943</v>
      </c>
      <c r="AS504" t="s">
        <v>1952</v>
      </c>
      <c r="AT504" t="s">
        <v>7916</v>
      </c>
      <c r="AU504">
        <v>2006</v>
      </c>
      <c r="AV504">
        <v>21</v>
      </c>
      <c r="AW504">
        <v>2</v>
      </c>
      <c r="AX504" t="s">
        <v>74</v>
      </c>
      <c r="AY504" t="s">
        <v>74</v>
      </c>
      <c r="AZ504" t="s">
        <v>74</v>
      </c>
      <c r="BA504" t="s">
        <v>74</v>
      </c>
      <c r="BB504" t="s">
        <v>74</v>
      </c>
      <c r="BC504" t="s">
        <v>74</v>
      </c>
      <c r="BD504" t="s">
        <v>7931</v>
      </c>
      <c r="BE504" t="s">
        <v>7932</v>
      </c>
      <c r="BF504" t="str">
        <f>HYPERLINK("http://dx.doi.org/10.1029/2005PA001238","http://dx.doi.org/10.1029/2005PA001238")</f>
        <v>http://dx.doi.org/10.1029/2005PA001238</v>
      </c>
      <c r="BG504" t="s">
        <v>74</v>
      </c>
      <c r="BH504" t="s">
        <v>74</v>
      </c>
      <c r="BI504">
        <v>9</v>
      </c>
      <c r="BJ504" t="s">
        <v>1955</v>
      </c>
      <c r="BK504" t="s">
        <v>97</v>
      </c>
      <c r="BL504" t="s">
        <v>1956</v>
      </c>
      <c r="BM504" t="s">
        <v>7933</v>
      </c>
      <c r="BN504" t="s">
        <v>74</v>
      </c>
      <c r="BO504" t="s">
        <v>74</v>
      </c>
      <c r="BP504" t="s">
        <v>74</v>
      </c>
      <c r="BQ504" t="s">
        <v>74</v>
      </c>
      <c r="BR504" t="s">
        <v>100</v>
      </c>
      <c r="BS504" t="s">
        <v>7934</v>
      </c>
      <c r="BT504" t="str">
        <f>HYPERLINK("https%3A%2F%2Fwww.webofscience.com%2Fwos%2Fwoscc%2Ffull-record%2FWOS:000236883000001","View Full Record in Web of Science")</f>
        <v>View Full Record in Web of Science</v>
      </c>
    </row>
    <row r="505" spans="1:72" x14ac:dyDescent="0.15">
      <c r="A505" t="s">
        <v>72</v>
      </c>
      <c r="B505" t="s">
        <v>7935</v>
      </c>
      <c r="C505" t="s">
        <v>74</v>
      </c>
      <c r="D505" t="s">
        <v>74</v>
      </c>
      <c r="E505" t="s">
        <v>74</v>
      </c>
      <c r="F505" t="s">
        <v>7935</v>
      </c>
      <c r="G505" t="s">
        <v>74</v>
      </c>
      <c r="H505" t="s">
        <v>74</v>
      </c>
      <c r="I505" t="s">
        <v>7936</v>
      </c>
      <c r="J505" t="s">
        <v>1748</v>
      </c>
      <c r="K505" t="s">
        <v>74</v>
      </c>
      <c r="L505" t="s">
        <v>74</v>
      </c>
      <c r="M505" t="s">
        <v>78</v>
      </c>
      <c r="N505" t="s">
        <v>79</v>
      </c>
      <c r="O505" t="s">
        <v>74</v>
      </c>
      <c r="P505" t="s">
        <v>74</v>
      </c>
      <c r="Q505" t="s">
        <v>74</v>
      </c>
      <c r="R505" t="s">
        <v>74</v>
      </c>
      <c r="S505" t="s">
        <v>74</v>
      </c>
      <c r="T505" t="s">
        <v>74</v>
      </c>
      <c r="U505" t="s">
        <v>74</v>
      </c>
      <c r="V505" t="s">
        <v>7937</v>
      </c>
      <c r="W505" t="s">
        <v>7938</v>
      </c>
      <c r="X505" t="s">
        <v>7939</v>
      </c>
      <c r="Y505" t="s">
        <v>7940</v>
      </c>
      <c r="Z505" t="s">
        <v>7941</v>
      </c>
      <c r="AA505" t="s">
        <v>74</v>
      </c>
      <c r="AB505" t="s">
        <v>7942</v>
      </c>
      <c r="AC505" t="s">
        <v>74</v>
      </c>
      <c r="AD505" t="s">
        <v>74</v>
      </c>
      <c r="AE505" t="s">
        <v>74</v>
      </c>
      <c r="AF505" t="s">
        <v>74</v>
      </c>
      <c r="AG505">
        <v>13</v>
      </c>
      <c r="AH505">
        <v>129</v>
      </c>
      <c r="AI505">
        <v>162</v>
      </c>
      <c r="AJ505">
        <v>1</v>
      </c>
      <c r="AK505">
        <v>35</v>
      </c>
      <c r="AL505" t="s">
        <v>1757</v>
      </c>
      <c r="AM505" t="s">
        <v>88</v>
      </c>
      <c r="AN505" t="s">
        <v>1758</v>
      </c>
      <c r="AO505" t="s">
        <v>1759</v>
      </c>
      <c r="AP505" t="s">
        <v>1760</v>
      </c>
      <c r="AQ505" t="s">
        <v>74</v>
      </c>
      <c r="AR505" t="s">
        <v>1761</v>
      </c>
      <c r="AS505" t="s">
        <v>1762</v>
      </c>
      <c r="AT505" t="s">
        <v>7943</v>
      </c>
      <c r="AU505">
        <v>2006</v>
      </c>
      <c r="AV505">
        <v>33</v>
      </c>
      <c r="AW505">
        <v>7</v>
      </c>
      <c r="AX505" t="s">
        <v>74</v>
      </c>
      <c r="AY505" t="s">
        <v>74</v>
      </c>
      <c r="AZ505" t="s">
        <v>74</v>
      </c>
      <c r="BA505" t="s">
        <v>74</v>
      </c>
      <c r="BB505" t="s">
        <v>74</v>
      </c>
      <c r="BC505" t="s">
        <v>74</v>
      </c>
      <c r="BD505" t="s">
        <v>7944</v>
      </c>
      <c r="BE505" t="s">
        <v>7945</v>
      </c>
      <c r="BF505" t="str">
        <f>HYPERLINK("http://dx.doi.org/10.1029/2005GL025227","http://dx.doi.org/10.1029/2005GL025227")</f>
        <v>http://dx.doi.org/10.1029/2005GL025227</v>
      </c>
      <c r="BG505" t="s">
        <v>74</v>
      </c>
      <c r="BH505" t="s">
        <v>74</v>
      </c>
      <c r="BI505">
        <v>4</v>
      </c>
      <c r="BJ505" t="s">
        <v>527</v>
      </c>
      <c r="BK505" t="s">
        <v>97</v>
      </c>
      <c r="BL505" t="s">
        <v>528</v>
      </c>
      <c r="BM505" t="s">
        <v>7946</v>
      </c>
      <c r="BN505" t="s">
        <v>74</v>
      </c>
      <c r="BO505" t="s">
        <v>1767</v>
      </c>
      <c r="BP505" t="s">
        <v>74</v>
      </c>
      <c r="BQ505" t="s">
        <v>74</v>
      </c>
      <c r="BR505" t="s">
        <v>100</v>
      </c>
      <c r="BS505" t="s">
        <v>7947</v>
      </c>
      <c r="BT505" t="str">
        <f>HYPERLINK("https%3A%2F%2Fwww.webofscience.com%2Fwos%2Fwoscc%2Ffull-record%2FWOS:000236878600002","View Full Record in Web of Science")</f>
        <v>View Full Record in Web of Science</v>
      </c>
    </row>
    <row r="506" spans="1:72" x14ac:dyDescent="0.15">
      <c r="A506" t="s">
        <v>72</v>
      </c>
      <c r="B506" t="s">
        <v>7948</v>
      </c>
      <c r="C506" t="s">
        <v>74</v>
      </c>
      <c r="D506" t="s">
        <v>74</v>
      </c>
      <c r="E506" t="s">
        <v>74</v>
      </c>
      <c r="F506" t="s">
        <v>7948</v>
      </c>
      <c r="G506" t="s">
        <v>74</v>
      </c>
      <c r="H506" t="s">
        <v>74</v>
      </c>
      <c r="I506" t="s">
        <v>7949</v>
      </c>
      <c r="J506" t="s">
        <v>1748</v>
      </c>
      <c r="K506" t="s">
        <v>74</v>
      </c>
      <c r="L506" t="s">
        <v>74</v>
      </c>
      <c r="M506" t="s">
        <v>78</v>
      </c>
      <c r="N506" t="s">
        <v>79</v>
      </c>
      <c r="O506" t="s">
        <v>74</v>
      </c>
      <c r="P506" t="s">
        <v>74</v>
      </c>
      <c r="Q506" t="s">
        <v>74</v>
      </c>
      <c r="R506" t="s">
        <v>74</v>
      </c>
      <c r="S506" t="s">
        <v>74</v>
      </c>
      <c r="T506" t="s">
        <v>74</v>
      </c>
      <c r="U506" t="s">
        <v>7950</v>
      </c>
      <c r="V506" t="s">
        <v>7951</v>
      </c>
      <c r="W506" t="s">
        <v>7952</v>
      </c>
      <c r="X506" t="s">
        <v>7953</v>
      </c>
      <c r="Y506" t="s">
        <v>7954</v>
      </c>
      <c r="Z506" t="s">
        <v>7955</v>
      </c>
      <c r="AA506" t="s">
        <v>74</v>
      </c>
      <c r="AB506" t="s">
        <v>74</v>
      </c>
      <c r="AC506" t="s">
        <v>2995</v>
      </c>
      <c r="AD506" t="s">
        <v>1328</v>
      </c>
      <c r="AE506" t="s">
        <v>74</v>
      </c>
      <c r="AF506" t="s">
        <v>74</v>
      </c>
      <c r="AG506">
        <v>15</v>
      </c>
      <c r="AH506">
        <v>33</v>
      </c>
      <c r="AI506">
        <v>34</v>
      </c>
      <c r="AJ506">
        <v>0</v>
      </c>
      <c r="AK506">
        <v>1</v>
      </c>
      <c r="AL506" t="s">
        <v>1757</v>
      </c>
      <c r="AM506" t="s">
        <v>88</v>
      </c>
      <c r="AN506" t="s">
        <v>1758</v>
      </c>
      <c r="AO506" t="s">
        <v>1759</v>
      </c>
      <c r="AP506" t="s">
        <v>74</v>
      </c>
      <c r="AQ506" t="s">
        <v>74</v>
      </c>
      <c r="AR506" t="s">
        <v>1761</v>
      </c>
      <c r="AS506" t="s">
        <v>1762</v>
      </c>
      <c r="AT506" t="s">
        <v>7956</v>
      </c>
      <c r="AU506">
        <v>2006</v>
      </c>
      <c r="AV506">
        <v>33</v>
      </c>
      <c r="AW506">
        <v>7</v>
      </c>
      <c r="AX506" t="s">
        <v>74</v>
      </c>
      <c r="AY506" t="s">
        <v>74</v>
      </c>
      <c r="AZ506" t="s">
        <v>74</v>
      </c>
      <c r="BA506" t="s">
        <v>74</v>
      </c>
      <c r="BB506" t="s">
        <v>74</v>
      </c>
      <c r="BC506" t="s">
        <v>74</v>
      </c>
      <c r="BD506" t="s">
        <v>7957</v>
      </c>
      <c r="BE506" t="s">
        <v>7958</v>
      </c>
      <c r="BF506" t="str">
        <f>HYPERLINK("http://dx.doi.org/10.1029/2005GL025649","http://dx.doi.org/10.1029/2005GL025649")</f>
        <v>http://dx.doi.org/10.1029/2005GL025649</v>
      </c>
      <c r="BG506" t="s">
        <v>74</v>
      </c>
      <c r="BH506" t="s">
        <v>74</v>
      </c>
      <c r="BI506">
        <v>4</v>
      </c>
      <c r="BJ506" t="s">
        <v>527</v>
      </c>
      <c r="BK506" t="s">
        <v>97</v>
      </c>
      <c r="BL506" t="s">
        <v>528</v>
      </c>
      <c r="BM506" t="s">
        <v>7959</v>
      </c>
      <c r="BN506" t="s">
        <v>74</v>
      </c>
      <c r="BO506" t="s">
        <v>1808</v>
      </c>
      <c r="BP506" t="s">
        <v>74</v>
      </c>
      <c r="BQ506" t="s">
        <v>74</v>
      </c>
      <c r="BR506" t="s">
        <v>100</v>
      </c>
      <c r="BS506" t="s">
        <v>7960</v>
      </c>
      <c r="BT506" t="str">
        <f>HYPERLINK("https%3A%2F%2Fwww.webofscience.com%2Fwos%2Fwoscc%2Ffull-record%2FWOS:000236878400008","View Full Record in Web of Science")</f>
        <v>View Full Record in Web of Science</v>
      </c>
    </row>
    <row r="507" spans="1:72" x14ac:dyDescent="0.15">
      <c r="A507" t="s">
        <v>72</v>
      </c>
      <c r="B507" t="s">
        <v>7961</v>
      </c>
      <c r="C507" t="s">
        <v>74</v>
      </c>
      <c r="D507" t="s">
        <v>74</v>
      </c>
      <c r="E507" t="s">
        <v>74</v>
      </c>
      <c r="F507" t="s">
        <v>7961</v>
      </c>
      <c r="G507" t="s">
        <v>74</v>
      </c>
      <c r="H507" t="s">
        <v>74</v>
      </c>
      <c r="I507" t="s">
        <v>7962</v>
      </c>
      <c r="J507" t="s">
        <v>1748</v>
      </c>
      <c r="K507" t="s">
        <v>74</v>
      </c>
      <c r="L507" t="s">
        <v>74</v>
      </c>
      <c r="M507" t="s">
        <v>78</v>
      </c>
      <c r="N507" t="s">
        <v>79</v>
      </c>
      <c r="O507" t="s">
        <v>74</v>
      </c>
      <c r="P507" t="s">
        <v>74</v>
      </c>
      <c r="Q507" t="s">
        <v>74</v>
      </c>
      <c r="R507" t="s">
        <v>74</v>
      </c>
      <c r="S507" t="s">
        <v>74</v>
      </c>
      <c r="T507" t="s">
        <v>74</v>
      </c>
      <c r="U507" t="s">
        <v>7963</v>
      </c>
      <c r="V507" t="s">
        <v>7964</v>
      </c>
      <c r="W507" t="s">
        <v>7965</v>
      </c>
      <c r="X507" t="s">
        <v>7966</v>
      </c>
      <c r="Y507" t="s">
        <v>7967</v>
      </c>
      <c r="Z507" t="s">
        <v>7968</v>
      </c>
      <c r="AA507" t="s">
        <v>7969</v>
      </c>
      <c r="AB507" t="s">
        <v>7970</v>
      </c>
      <c r="AC507" t="s">
        <v>7621</v>
      </c>
      <c r="AD507" t="s">
        <v>413</v>
      </c>
      <c r="AE507" t="s">
        <v>74</v>
      </c>
      <c r="AF507" t="s">
        <v>74</v>
      </c>
      <c r="AG507">
        <v>25</v>
      </c>
      <c r="AH507">
        <v>66</v>
      </c>
      <c r="AI507">
        <v>66</v>
      </c>
      <c r="AJ507">
        <v>0</v>
      </c>
      <c r="AK507">
        <v>4</v>
      </c>
      <c r="AL507" t="s">
        <v>1757</v>
      </c>
      <c r="AM507" t="s">
        <v>88</v>
      </c>
      <c r="AN507" t="s">
        <v>1758</v>
      </c>
      <c r="AO507" t="s">
        <v>1759</v>
      </c>
      <c r="AP507" t="s">
        <v>1760</v>
      </c>
      <c r="AQ507" t="s">
        <v>74</v>
      </c>
      <c r="AR507" t="s">
        <v>1761</v>
      </c>
      <c r="AS507" t="s">
        <v>1762</v>
      </c>
      <c r="AT507" t="s">
        <v>7956</v>
      </c>
      <c r="AU507">
        <v>2006</v>
      </c>
      <c r="AV507">
        <v>33</v>
      </c>
      <c r="AW507">
        <v>7</v>
      </c>
      <c r="AX507" t="s">
        <v>74</v>
      </c>
      <c r="AY507" t="s">
        <v>74</v>
      </c>
      <c r="AZ507" t="s">
        <v>74</v>
      </c>
      <c r="BA507" t="s">
        <v>74</v>
      </c>
      <c r="BB507" t="s">
        <v>74</v>
      </c>
      <c r="BC507" t="s">
        <v>74</v>
      </c>
      <c r="BD507" t="s">
        <v>7971</v>
      </c>
      <c r="BE507" t="s">
        <v>7972</v>
      </c>
      <c r="BF507" t="str">
        <f>HYPERLINK("http://dx.doi.org/10.1029/2005GL025571","http://dx.doi.org/10.1029/2005GL025571")</f>
        <v>http://dx.doi.org/10.1029/2005GL025571</v>
      </c>
      <c r="BG507" t="s">
        <v>74</v>
      </c>
      <c r="BH507" t="s">
        <v>74</v>
      </c>
      <c r="BI507">
        <v>4</v>
      </c>
      <c r="BJ507" t="s">
        <v>527</v>
      </c>
      <c r="BK507" t="s">
        <v>97</v>
      </c>
      <c r="BL507" t="s">
        <v>528</v>
      </c>
      <c r="BM507" t="s">
        <v>7959</v>
      </c>
      <c r="BN507" t="s">
        <v>74</v>
      </c>
      <c r="BO507" t="s">
        <v>147</v>
      </c>
      <c r="BP507" t="s">
        <v>74</v>
      </c>
      <c r="BQ507" t="s">
        <v>74</v>
      </c>
      <c r="BR507" t="s">
        <v>100</v>
      </c>
      <c r="BS507" t="s">
        <v>7973</v>
      </c>
      <c r="BT507" t="str">
        <f>HYPERLINK("https%3A%2F%2Fwww.webofscience.com%2Fwos%2Fwoscc%2Ffull-record%2FWOS:000236878400006","View Full Record in Web of Science")</f>
        <v>View Full Record in Web of Science</v>
      </c>
    </row>
    <row r="508" spans="1:72" x14ac:dyDescent="0.15">
      <c r="A508" t="s">
        <v>72</v>
      </c>
      <c r="B508" t="s">
        <v>7974</v>
      </c>
      <c r="C508" t="s">
        <v>74</v>
      </c>
      <c r="D508" t="s">
        <v>74</v>
      </c>
      <c r="E508" t="s">
        <v>74</v>
      </c>
      <c r="F508" t="s">
        <v>7974</v>
      </c>
      <c r="G508" t="s">
        <v>74</v>
      </c>
      <c r="H508" t="s">
        <v>74</v>
      </c>
      <c r="I508" t="s">
        <v>7975</v>
      </c>
      <c r="J508" t="s">
        <v>1748</v>
      </c>
      <c r="K508" t="s">
        <v>74</v>
      </c>
      <c r="L508" t="s">
        <v>74</v>
      </c>
      <c r="M508" t="s">
        <v>78</v>
      </c>
      <c r="N508" t="s">
        <v>79</v>
      </c>
      <c r="O508" t="s">
        <v>74</v>
      </c>
      <c r="P508" t="s">
        <v>74</v>
      </c>
      <c r="Q508" t="s">
        <v>74</v>
      </c>
      <c r="R508" t="s">
        <v>74</v>
      </c>
      <c r="S508" t="s">
        <v>74</v>
      </c>
      <c r="T508" t="s">
        <v>74</v>
      </c>
      <c r="U508" t="s">
        <v>7976</v>
      </c>
      <c r="V508" t="s">
        <v>7977</v>
      </c>
      <c r="W508" t="s">
        <v>5308</v>
      </c>
      <c r="X508" t="s">
        <v>5282</v>
      </c>
      <c r="Y508" t="s">
        <v>7978</v>
      </c>
      <c r="Z508" t="s">
        <v>7979</v>
      </c>
      <c r="AA508" t="s">
        <v>7980</v>
      </c>
      <c r="AB508" t="s">
        <v>74</v>
      </c>
      <c r="AC508" t="s">
        <v>74</v>
      </c>
      <c r="AD508" t="s">
        <v>74</v>
      </c>
      <c r="AE508" t="s">
        <v>74</v>
      </c>
      <c r="AF508" t="s">
        <v>74</v>
      </c>
      <c r="AG508">
        <v>15</v>
      </c>
      <c r="AH508">
        <v>18</v>
      </c>
      <c r="AI508">
        <v>20</v>
      </c>
      <c r="AJ508">
        <v>1</v>
      </c>
      <c r="AK508">
        <v>9</v>
      </c>
      <c r="AL508" t="s">
        <v>1757</v>
      </c>
      <c r="AM508" t="s">
        <v>88</v>
      </c>
      <c r="AN508" t="s">
        <v>1758</v>
      </c>
      <c r="AO508" t="s">
        <v>1759</v>
      </c>
      <c r="AP508" t="s">
        <v>1760</v>
      </c>
      <c r="AQ508" t="s">
        <v>74</v>
      </c>
      <c r="AR508" t="s">
        <v>1761</v>
      </c>
      <c r="AS508" t="s">
        <v>1762</v>
      </c>
      <c r="AT508" t="s">
        <v>7981</v>
      </c>
      <c r="AU508">
        <v>2006</v>
      </c>
      <c r="AV508">
        <v>33</v>
      </c>
      <c r="AW508">
        <v>7</v>
      </c>
      <c r="AX508" t="s">
        <v>74</v>
      </c>
      <c r="AY508" t="s">
        <v>74</v>
      </c>
      <c r="AZ508" t="s">
        <v>74</v>
      </c>
      <c r="BA508" t="s">
        <v>74</v>
      </c>
      <c r="BB508" t="s">
        <v>74</v>
      </c>
      <c r="BC508" t="s">
        <v>74</v>
      </c>
      <c r="BD508" t="s">
        <v>7982</v>
      </c>
      <c r="BE508" t="s">
        <v>7983</v>
      </c>
      <c r="BF508" t="str">
        <f>HYPERLINK("http://dx.doi.org/10.1029/2005GL024766","http://dx.doi.org/10.1029/2005GL024766")</f>
        <v>http://dx.doi.org/10.1029/2005GL024766</v>
      </c>
      <c r="BG508" t="s">
        <v>74</v>
      </c>
      <c r="BH508" t="s">
        <v>74</v>
      </c>
      <c r="BI508">
        <v>4</v>
      </c>
      <c r="BJ508" t="s">
        <v>527</v>
      </c>
      <c r="BK508" t="s">
        <v>97</v>
      </c>
      <c r="BL508" t="s">
        <v>528</v>
      </c>
      <c r="BM508" t="s">
        <v>7984</v>
      </c>
      <c r="BN508" t="s">
        <v>74</v>
      </c>
      <c r="BO508" t="s">
        <v>460</v>
      </c>
      <c r="BP508" t="s">
        <v>74</v>
      </c>
      <c r="BQ508" t="s">
        <v>74</v>
      </c>
      <c r="BR508" t="s">
        <v>100</v>
      </c>
      <c r="BS508" t="s">
        <v>7985</v>
      </c>
      <c r="BT508" t="str">
        <f>HYPERLINK("https%3A%2F%2Fwww.webofscience.com%2Fwos%2Fwoscc%2Ffull-record%2FWOS:000236878100001","View Full Record in Web of Science")</f>
        <v>View Full Record in Web of Science</v>
      </c>
    </row>
    <row r="509" spans="1:72" x14ac:dyDescent="0.15">
      <c r="A509" t="s">
        <v>72</v>
      </c>
      <c r="B509" t="s">
        <v>7986</v>
      </c>
      <c r="C509" t="s">
        <v>74</v>
      </c>
      <c r="D509" t="s">
        <v>74</v>
      </c>
      <c r="E509" t="s">
        <v>74</v>
      </c>
      <c r="F509" t="s">
        <v>7986</v>
      </c>
      <c r="G509" t="s">
        <v>74</v>
      </c>
      <c r="H509" t="s">
        <v>74</v>
      </c>
      <c r="I509" t="s">
        <v>7987</v>
      </c>
      <c r="J509" t="s">
        <v>2470</v>
      </c>
      <c r="K509" t="s">
        <v>74</v>
      </c>
      <c r="L509" t="s">
        <v>74</v>
      </c>
      <c r="M509" t="s">
        <v>78</v>
      </c>
      <c r="N509" t="s">
        <v>79</v>
      </c>
      <c r="O509" t="s">
        <v>74</v>
      </c>
      <c r="P509" t="s">
        <v>74</v>
      </c>
      <c r="Q509" t="s">
        <v>74</v>
      </c>
      <c r="R509" t="s">
        <v>74</v>
      </c>
      <c r="S509" t="s">
        <v>74</v>
      </c>
      <c r="T509" t="s">
        <v>7988</v>
      </c>
      <c r="U509" t="s">
        <v>7989</v>
      </c>
      <c r="V509" t="s">
        <v>7990</v>
      </c>
      <c r="W509" t="s">
        <v>7991</v>
      </c>
      <c r="X509" t="s">
        <v>7992</v>
      </c>
      <c r="Y509" t="s">
        <v>7993</v>
      </c>
      <c r="Z509" t="s">
        <v>7994</v>
      </c>
      <c r="AA509" t="s">
        <v>74</v>
      </c>
      <c r="AB509" t="s">
        <v>7995</v>
      </c>
      <c r="AC509" t="s">
        <v>74</v>
      </c>
      <c r="AD509" t="s">
        <v>74</v>
      </c>
      <c r="AE509" t="s">
        <v>74</v>
      </c>
      <c r="AF509" t="s">
        <v>74</v>
      </c>
      <c r="AG509">
        <v>46</v>
      </c>
      <c r="AH509">
        <v>2</v>
      </c>
      <c r="AI509">
        <v>2</v>
      </c>
      <c r="AJ509">
        <v>0</v>
      </c>
      <c r="AK509">
        <v>3</v>
      </c>
      <c r="AL509" t="s">
        <v>1261</v>
      </c>
      <c r="AM509" t="s">
        <v>520</v>
      </c>
      <c r="AN509" t="s">
        <v>1262</v>
      </c>
      <c r="AO509" t="s">
        <v>2478</v>
      </c>
      <c r="AP509" t="s">
        <v>2479</v>
      </c>
      <c r="AQ509" t="s">
        <v>74</v>
      </c>
      <c r="AR509" t="s">
        <v>2480</v>
      </c>
      <c r="AS509" t="s">
        <v>2481</v>
      </c>
      <c r="AT509" t="s">
        <v>7981</v>
      </c>
      <c r="AU509">
        <v>2006</v>
      </c>
      <c r="AV509">
        <v>331</v>
      </c>
      <c r="AW509">
        <v>1</v>
      </c>
      <c r="AX509" t="s">
        <v>74</v>
      </c>
      <c r="AY509" t="s">
        <v>74</v>
      </c>
      <c r="AZ509" t="s">
        <v>74</v>
      </c>
      <c r="BA509" t="s">
        <v>74</v>
      </c>
      <c r="BB509">
        <v>82</v>
      </c>
      <c r="BC509">
        <v>90</v>
      </c>
      <c r="BD509" t="s">
        <v>74</v>
      </c>
      <c r="BE509" t="s">
        <v>7996</v>
      </c>
      <c r="BF509" t="str">
        <f>HYPERLINK("http://dx.doi.org/10.1016/j.jembe.2005.10.006","http://dx.doi.org/10.1016/j.jembe.2005.10.006")</f>
        <v>http://dx.doi.org/10.1016/j.jembe.2005.10.006</v>
      </c>
      <c r="BG509" t="s">
        <v>74</v>
      </c>
      <c r="BH509" t="s">
        <v>74</v>
      </c>
      <c r="BI509">
        <v>9</v>
      </c>
      <c r="BJ509" t="s">
        <v>2483</v>
      </c>
      <c r="BK509" t="s">
        <v>97</v>
      </c>
      <c r="BL509" t="s">
        <v>1288</v>
      </c>
      <c r="BM509" t="s">
        <v>7997</v>
      </c>
      <c r="BN509" t="s">
        <v>74</v>
      </c>
      <c r="BO509" t="s">
        <v>99</v>
      </c>
      <c r="BP509" t="s">
        <v>74</v>
      </c>
      <c r="BQ509" t="s">
        <v>74</v>
      </c>
      <c r="BR509" t="s">
        <v>100</v>
      </c>
      <c r="BS509" t="s">
        <v>7998</v>
      </c>
      <c r="BT509" t="str">
        <f>HYPERLINK("https%3A%2F%2Fwww.webofscience.com%2Fwos%2Fwoscc%2Ffull-record%2FWOS:000236748600009","View Full Record in Web of Science")</f>
        <v>View Full Record in Web of Science</v>
      </c>
    </row>
    <row r="510" spans="1:72" x14ac:dyDescent="0.15">
      <c r="A510" t="s">
        <v>72</v>
      </c>
      <c r="B510" t="s">
        <v>7999</v>
      </c>
      <c r="C510" t="s">
        <v>74</v>
      </c>
      <c r="D510" t="s">
        <v>74</v>
      </c>
      <c r="E510" t="s">
        <v>74</v>
      </c>
      <c r="F510" t="s">
        <v>7999</v>
      </c>
      <c r="G510" t="s">
        <v>74</v>
      </c>
      <c r="H510" t="s">
        <v>74</v>
      </c>
      <c r="I510" t="s">
        <v>8000</v>
      </c>
      <c r="J510" t="s">
        <v>1772</v>
      </c>
      <c r="K510" t="s">
        <v>74</v>
      </c>
      <c r="L510" t="s">
        <v>74</v>
      </c>
      <c r="M510" t="s">
        <v>78</v>
      </c>
      <c r="N510" t="s">
        <v>79</v>
      </c>
      <c r="O510" t="s">
        <v>74</v>
      </c>
      <c r="P510" t="s">
        <v>74</v>
      </c>
      <c r="Q510" t="s">
        <v>74</v>
      </c>
      <c r="R510" t="s">
        <v>74</v>
      </c>
      <c r="S510" t="s">
        <v>74</v>
      </c>
      <c r="T510" t="s">
        <v>74</v>
      </c>
      <c r="U510" t="s">
        <v>8001</v>
      </c>
      <c r="V510" t="s">
        <v>8002</v>
      </c>
      <c r="W510" t="s">
        <v>8003</v>
      </c>
      <c r="X510" t="s">
        <v>8004</v>
      </c>
      <c r="Y510" t="s">
        <v>8005</v>
      </c>
      <c r="Z510" t="s">
        <v>8006</v>
      </c>
      <c r="AA510" t="s">
        <v>8007</v>
      </c>
      <c r="AB510" t="s">
        <v>8008</v>
      </c>
      <c r="AC510" t="s">
        <v>74</v>
      </c>
      <c r="AD510" t="s">
        <v>74</v>
      </c>
      <c r="AE510" t="s">
        <v>74</v>
      </c>
      <c r="AF510" t="s">
        <v>74</v>
      </c>
      <c r="AG510">
        <v>33</v>
      </c>
      <c r="AH510">
        <v>12</v>
      </c>
      <c r="AI510">
        <v>13</v>
      </c>
      <c r="AJ510">
        <v>0</v>
      </c>
      <c r="AK510">
        <v>4</v>
      </c>
      <c r="AL510" t="s">
        <v>1757</v>
      </c>
      <c r="AM510" t="s">
        <v>88</v>
      </c>
      <c r="AN510" t="s">
        <v>1758</v>
      </c>
      <c r="AO510" t="s">
        <v>1779</v>
      </c>
      <c r="AP510" t="s">
        <v>1780</v>
      </c>
      <c r="AQ510" t="s">
        <v>74</v>
      </c>
      <c r="AR510" t="s">
        <v>1781</v>
      </c>
      <c r="AS510" t="s">
        <v>1782</v>
      </c>
      <c r="AT510" t="s">
        <v>7981</v>
      </c>
      <c r="AU510">
        <v>2006</v>
      </c>
      <c r="AV510">
        <v>111</v>
      </c>
      <c r="AW510" t="s">
        <v>8009</v>
      </c>
      <c r="AX510" t="s">
        <v>74</v>
      </c>
      <c r="AY510" t="s">
        <v>74</v>
      </c>
      <c r="AZ510" t="s">
        <v>74</v>
      </c>
      <c r="BA510" t="s">
        <v>74</v>
      </c>
      <c r="BB510" t="s">
        <v>74</v>
      </c>
      <c r="BC510" t="s">
        <v>74</v>
      </c>
      <c r="BD510" t="s">
        <v>8010</v>
      </c>
      <c r="BE510" t="s">
        <v>8011</v>
      </c>
      <c r="BF510" t="str">
        <f>HYPERLINK("http://dx.doi.org/10.1029/2005JD005948","http://dx.doi.org/10.1029/2005JD005948")</f>
        <v>http://dx.doi.org/10.1029/2005JD005948</v>
      </c>
      <c r="BG510" t="s">
        <v>74</v>
      </c>
      <c r="BH510" t="s">
        <v>74</v>
      </c>
      <c r="BI510">
        <v>13</v>
      </c>
      <c r="BJ510" t="s">
        <v>869</v>
      </c>
      <c r="BK510" t="s">
        <v>97</v>
      </c>
      <c r="BL510" t="s">
        <v>869</v>
      </c>
      <c r="BM510" t="s">
        <v>8012</v>
      </c>
      <c r="BN510" t="s">
        <v>74</v>
      </c>
      <c r="BO510" t="s">
        <v>99</v>
      </c>
      <c r="BP510" t="s">
        <v>74</v>
      </c>
      <c r="BQ510" t="s">
        <v>74</v>
      </c>
      <c r="BR510" t="s">
        <v>100</v>
      </c>
      <c r="BS510" t="s">
        <v>8013</v>
      </c>
      <c r="BT510" t="str">
        <f>HYPERLINK("https%3A%2F%2Fwww.webofscience.com%2Fwos%2Fwoscc%2Ffull-record%2FWOS:000236880200003","View Full Record in Web of Science")</f>
        <v>View Full Record in Web of Science</v>
      </c>
    </row>
    <row r="511" spans="1:72" x14ac:dyDescent="0.15">
      <c r="A511" t="s">
        <v>72</v>
      </c>
      <c r="B511" t="s">
        <v>8014</v>
      </c>
      <c r="C511" t="s">
        <v>74</v>
      </c>
      <c r="D511" t="s">
        <v>74</v>
      </c>
      <c r="E511" t="s">
        <v>74</v>
      </c>
      <c r="F511" t="s">
        <v>8014</v>
      </c>
      <c r="G511" t="s">
        <v>74</v>
      </c>
      <c r="H511" t="s">
        <v>74</v>
      </c>
      <c r="I511" t="s">
        <v>8015</v>
      </c>
      <c r="J511" t="s">
        <v>1772</v>
      </c>
      <c r="K511" t="s">
        <v>74</v>
      </c>
      <c r="L511" t="s">
        <v>74</v>
      </c>
      <c r="M511" t="s">
        <v>78</v>
      </c>
      <c r="N511" t="s">
        <v>79</v>
      </c>
      <c r="O511" t="s">
        <v>74</v>
      </c>
      <c r="P511" t="s">
        <v>74</v>
      </c>
      <c r="Q511" t="s">
        <v>74</v>
      </c>
      <c r="R511" t="s">
        <v>74</v>
      </c>
      <c r="S511" t="s">
        <v>74</v>
      </c>
      <c r="T511" t="s">
        <v>74</v>
      </c>
      <c r="U511" t="s">
        <v>8016</v>
      </c>
      <c r="V511" t="s">
        <v>8017</v>
      </c>
      <c r="W511" t="s">
        <v>8003</v>
      </c>
      <c r="X511" t="s">
        <v>8004</v>
      </c>
      <c r="Y511" t="s">
        <v>8005</v>
      </c>
      <c r="Z511" t="s">
        <v>8006</v>
      </c>
      <c r="AA511" t="s">
        <v>8007</v>
      </c>
      <c r="AB511" t="s">
        <v>8008</v>
      </c>
      <c r="AC511" t="s">
        <v>74</v>
      </c>
      <c r="AD511" t="s">
        <v>74</v>
      </c>
      <c r="AE511" t="s">
        <v>74</v>
      </c>
      <c r="AF511" t="s">
        <v>74</v>
      </c>
      <c r="AG511">
        <v>30</v>
      </c>
      <c r="AH511">
        <v>8</v>
      </c>
      <c r="AI511">
        <v>9</v>
      </c>
      <c r="AJ511">
        <v>3</v>
      </c>
      <c r="AK511">
        <v>10</v>
      </c>
      <c r="AL511" t="s">
        <v>1757</v>
      </c>
      <c r="AM511" t="s">
        <v>88</v>
      </c>
      <c r="AN511" t="s">
        <v>1758</v>
      </c>
      <c r="AO511" t="s">
        <v>1779</v>
      </c>
      <c r="AP511" t="s">
        <v>1780</v>
      </c>
      <c r="AQ511" t="s">
        <v>74</v>
      </c>
      <c r="AR511" t="s">
        <v>1781</v>
      </c>
      <c r="AS511" t="s">
        <v>1782</v>
      </c>
      <c r="AT511" t="s">
        <v>7981</v>
      </c>
      <c r="AU511">
        <v>2006</v>
      </c>
      <c r="AV511">
        <v>111</v>
      </c>
      <c r="AW511" t="s">
        <v>8009</v>
      </c>
      <c r="AX511" t="s">
        <v>74</v>
      </c>
      <c r="AY511" t="s">
        <v>74</v>
      </c>
      <c r="AZ511" t="s">
        <v>74</v>
      </c>
      <c r="BA511" t="s">
        <v>74</v>
      </c>
      <c r="BB511" t="s">
        <v>74</v>
      </c>
      <c r="BC511" t="s">
        <v>74</v>
      </c>
      <c r="BD511" t="s">
        <v>8018</v>
      </c>
      <c r="BE511" t="s">
        <v>8019</v>
      </c>
      <c r="BF511" t="str">
        <f>HYPERLINK("http://dx.doi.org/10.1029/2005JD006956","http://dx.doi.org/10.1029/2005JD006956")</f>
        <v>http://dx.doi.org/10.1029/2005JD006956</v>
      </c>
      <c r="BG511" t="s">
        <v>74</v>
      </c>
      <c r="BH511" t="s">
        <v>74</v>
      </c>
      <c r="BI511">
        <v>12</v>
      </c>
      <c r="BJ511" t="s">
        <v>869</v>
      </c>
      <c r="BK511" t="s">
        <v>97</v>
      </c>
      <c r="BL511" t="s">
        <v>869</v>
      </c>
      <c r="BM511" t="s">
        <v>8012</v>
      </c>
      <c r="BN511" t="s">
        <v>74</v>
      </c>
      <c r="BO511" t="s">
        <v>460</v>
      </c>
      <c r="BP511" t="s">
        <v>74</v>
      </c>
      <c r="BQ511" t="s">
        <v>74</v>
      </c>
      <c r="BR511" t="s">
        <v>100</v>
      </c>
      <c r="BS511" t="s">
        <v>8020</v>
      </c>
      <c r="BT511" t="str">
        <f>HYPERLINK("https%3A%2F%2Fwww.webofscience.com%2Fwos%2Fwoscc%2Ffull-record%2FWOS:000236880200006","View Full Record in Web of Science")</f>
        <v>View Full Record in Web of Science</v>
      </c>
    </row>
    <row r="512" spans="1:72" x14ac:dyDescent="0.15">
      <c r="A512" t="s">
        <v>72</v>
      </c>
      <c r="B512" t="s">
        <v>8021</v>
      </c>
      <c r="C512" t="s">
        <v>74</v>
      </c>
      <c r="D512" t="s">
        <v>74</v>
      </c>
      <c r="E512" t="s">
        <v>74</v>
      </c>
      <c r="F512" t="s">
        <v>8022</v>
      </c>
      <c r="G512" t="s">
        <v>74</v>
      </c>
      <c r="H512" t="s">
        <v>74</v>
      </c>
      <c r="I512" t="s">
        <v>8023</v>
      </c>
      <c r="J512" t="s">
        <v>8024</v>
      </c>
      <c r="K512" t="s">
        <v>74</v>
      </c>
      <c r="L512" t="s">
        <v>74</v>
      </c>
      <c r="M512" t="s">
        <v>78</v>
      </c>
      <c r="N512" t="s">
        <v>79</v>
      </c>
      <c r="O512" t="s">
        <v>74</v>
      </c>
      <c r="P512" t="s">
        <v>74</v>
      </c>
      <c r="Q512" t="s">
        <v>74</v>
      </c>
      <c r="R512" t="s">
        <v>74</v>
      </c>
      <c r="S512" t="s">
        <v>74</v>
      </c>
      <c r="T512" t="s">
        <v>8025</v>
      </c>
      <c r="U512" t="s">
        <v>74</v>
      </c>
      <c r="V512" t="s">
        <v>8026</v>
      </c>
      <c r="W512" t="s">
        <v>8027</v>
      </c>
      <c r="X512" t="s">
        <v>8028</v>
      </c>
      <c r="Y512" t="s">
        <v>8029</v>
      </c>
      <c r="Z512" t="s">
        <v>8030</v>
      </c>
      <c r="AA512" t="s">
        <v>74</v>
      </c>
      <c r="AB512" t="s">
        <v>74</v>
      </c>
      <c r="AC512" t="s">
        <v>74</v>
      </c>
      <c r="AD512" t="s">
        <v>74</v>
      </c>
      <c r="AE512" t="s">
        <v>74</v>
      </c>
      <c r="AF512" t="s">
        <v>74</v>
      </c>
      <c r="AG512">
        <v>23</v>
      </c>
      <c r="AH512">
        <v>11</v>
      </c>
      <c r="AI512">
        <v>13</v>
      </c>
      <c r="AJ512">
        <v>1</v>
      </c>
      <c r="AK512">
        <v>12</v>
      </c>
      <c r="AL512" t="s">
        <v>8031</v>
      </c>
      <c r="AM512" t="s">
        <v>8032</v>
      </c>
      <c r="AN512" t="s">
        <v>8033</v>
      </c>
      <c r="AO512" t="s">
        <v>8034</v>
      </c>
      <c r="AP512" t="s">
        <v>8035</v>
      </c>
      <c r="AQ512" t="s">
        <v>74</v>
      </c>
      <c r="AR512" t="s">
        <v>8036</v>
      </c>
      <c r="AS512" t="s">
        <v>8037</v>
      </c>
      <c r="AT512" t="s">
        <v>8038</v>
      </c>
      <c r="AU512">
        <v>2006</v>
      </c>
      <c r="AV512">
        <v>28</v>
      </c>
      <c r="AW512">
        <v>1</v>
      </c>
      <c r="AX512" t="s">
        <v>74</v>
      </c>
      <c r="AY512" t="s">
        <v>74</v>
      </c>
      <c r="AZ512" t="s">
        <v>74</v>
      </c>
      <c r="BA512" t="s">
        <v>74</v>
      </c>
      <c r="BB512">
        <v>159</v>
      </c>
      <c r="BC512">
        <v>166</v>
      </c>
      <c r="BD512" t="s">
        <v>74</v>
      </c>
      <c r="BE512" t="s">
        <v>8039</v>
      </c>
      <c r="BF512" t="str">
        <f>HYPERLINK("http://dx.doi.org/10.2989/18142320609504140","http://dx.doi.org/10.2989/18142320609504140")</f>
        <v>http://dx.doi.org/10.2989/18142320609504140</v>
      </c>
      <c r="BG512" t="s">
        <v>74</v>
      </c>
      <c r="BH512" t="s">
        <v>74</v>
      </c>
      <c r="BI512">
        <v>8</v>
      </c>
      <c r="BJ512" t="s">
        <v>1146</v>
      </c>
      <c r="BK512" t="s">
        <v>97</v>
      </c>
      <c r="BL512" t="s">
        <v>1146</v>
      </c>
      <c r="BM512" t="s">
        <v>8040</v>
      </c>
      <c r="BN512" t="s">
        <v>74</v>
      </c>
      <c r="BO512" t="s">
        <v>74</v>
      </c>
      <c r="BP512" t="s">
        <v>74</v>
      </c>
      <c r="BQ512" t="s">
        <v>74</v>
      </c>
      <c r="BR512" t="s">
        <v>100</v>
      </c>
      <c r="BS512" t="s">
        <v>8041</v>
      </c>
      <c r="BT512" t="str">
        <f>HYPERLINK("https%3A%2F%2Fwww.webofscience.com%2Fwos%2Fwoscc%2Ffull-record%2FWOS:000237987300013","View Full Record in Web of Science")</f>
        <v>View Full Record in Web of Science</v>
      </c>
    </row>
    <row r="513" spans="1:72" x14ac:dyDescent="0.15">
      <c r="A513" t="s">
        <v>72</v>
      </c>
      <c r="B513" t="s">
        <v>8042</v>
      </c>
      <c r="C513" t="s">
        <v>74</v>
      </c>
      <c r="D513" t="s">
        <v>74</v>
      </c>
      <c r="E513" t="s">
        <v>74</v>
      </c>
      <c r="F513" t="s">
        <v>8043</v>
      </c>
      <c r="G513" t="s">
        <v>74</v>
      </c>
      <c r="H513" t="s">
        <v>74</v>
      </c>
      <c r="I513" t="s">
        <v>8044</v>
      </c>
      <c r="J513" t="s">
        <v>8045</v>
      </c>
      <c r="K513" t="s">
        <v>74</v>
      </c>
      <c r="L513" t="s">
        <v>74</v>
      </c>
      <c r="M513" t="s">
        <v>78</v>
      </c>
      <c r="N513" t="s">
        <v>79</v>
      </c>
      <c r="O513" t="s">
        <v>74</v>
      </c>
      <c r="P513" t="s">
        <v>74</v>
      </c>
      <c r="Q513" t="s">
        <v>74</v>
      </c>
      <c r="R513" t="s">
        <v>74</v>
      </c>
      <c r="S513" t="s">
        <v>74</v>
      </c>
      <c r="T513" t="s">
        <v>8046</v>
      </c>
      <c r="U513" t="s">
        <v>8047</v>
      </c>
      <c r="V513" t="s">
        <v>8048</v>
      </c>
      <c r="W513" t="s">
        <v>8049</v>
      </c>
      <c r="X513" t="s">
        <v>8050</v>
      </c>
      <c r="Y513" t="s">
        <v>8051</v>
      </c>
      <c r="Z513" t="s">
        <v>8052</v>
      </c>
      <c r="AA513" t="s">
        <v>8053</v>
      </c>
      <c r="AB513" t="s">
        <v>8054</v>
      </c>
      <c r="AC513" t="s">
        <v>74</v>
      </c>
      <c r="AD513" t="s">
        <v>74</v>
      </c>
      <c r="AE513" t="s">
        <v>74</v>
      </c>
      <c r="AF513" t="s">
        <v>74</v>
      </c>
      <c r="AG513">
        <v>14</v>
      </c>
      <c r="AH513">
        <v>6</v>
      </c>
      <c r="AI513">
        <v>8</v>
      </c>
      <c r="AJ513">
        <v>0</v>
      </c>
      <c r="AK513">
        <v>4</v>
      </c>
      <c r="AL513" t="s">
        <v>8055</v>
      </c>
      <c r="AM513" t="s">
        <v>8056</v>
      </c>
      <c r="AN513" t="s">
        <v>8057</v>
      </c>
      <c r="AO513" t="s">
        <v>8058</v>
      </c>
      <c r="AP513" t="s">
        <v>8059</v>
      </c>
      <c r="AQ513" t="s">
        <v>74</v>
      </c>
      <c r="AR513" t="s">
        <v>8060</v>
      </c>
      <c r="AS513" t="s">
        <v>8061</v>
      </c>
      <c r="AT513" t="s">
        <v>8038</v>
      </c>
      <c r="AU513">
        <v>2006</v>
      </c>
      <c r="AV513">
        <v>41</v>
      </c>
      <c r="AW513">
        <v>1</v>
      </c>
      <c r="AX513" t="s">
        <v>74</v>
      </c>
      <c r="AY513" t="s">
        <v>74</v>
      </c>
      <c r="AZ513" t="s">
        <v>74</v>
      </c>
      <c r="BA513" t="s">
        <v>74</v>
      </c>
      <c r="BB513">
        <v>131</v>
      </c>
      <c r="BC513">
        <v>133</v>
      </c>
      <c r="BD513" t="s">
        <v>74</v>
      </c>
      <c r="BE513" t="s">
        <v>8062</v>
      </c>
      <c r="BF513" t="str">
        <f>HYPERLINK("http://dx.doi.org/10.3377/1562-7020(2006)41[131:FROAVC]2.0.CO;2","http://dx.doi.org/10.3377/1562-7020(2006)41[131:FROAVC]2.0.CO;2")</f>
        <v>http://dx.doi.org/10.3377/1562-7020(2006)41[131:FROAVC]2.0.CO;2</v>
      </c>
      <c r="BG513" t="s">
        <v>74</v>
      </c>
      <c r="BH513" t="s">
        <v>74</v>
      </c>
      <c r="BI513">
        <v>3</v>
      </c>
      <c r="BJ513" t="s">
        <v>1000</v>
      </c>
      <c r="BK513" t="s">
        <v>97</v>
      </c>
      <c r="BL513" t="s">
        <v>1000</v>
      </c>
      <c r="BM513" t="s">
        <v>8063</v>
      </c>
      <c r="BN513" t="s">
        <v>74</v>
      </c>
      <c r="BO513" t="s">
        <v>74</v>
      </c>
      <c r="BP513" t="s">
        <v>74</v>
      </c>
      <c r="BQ513" t="s">
        <v>74</v>
      </c>
      <c r="BR513" t="s">
        <v>100</v>
      </c>
      <c r="BS513" t="s">
        <v>8064</v>
      </c>
      <c r="BT513" t="str">
        <f>HYPERLINK("https%3A%2F%2Fwww.webofscience.com%2Fwos%2Fwoscc%2Ffull-record%2FWOS:000239363200014","View Full Record in Web of Science")</f>
        <v>View Full Record in Web of Science</v>
      </c>
    </row>
    <row r="514" spans="1:72" x14ac:dyDescent="0.15">
      <c r="A514" t="s">
        <v>72</v>
      </c>
      <c r="B514" t="s">
        <v>8065</v>
      </c>
      <c r="C514" t="s">
        <v>74</v>
      </c>
      <c r="D514" t="s">
        <v>74</v>
      </c>
      <c r="E514" t="s">
        <v>74</v>
      </c>
      <c r="F514" t="s">
        <v>8066</v>
      </c>
      <c r="G514" t="s">
        <v>74</v>
      </c>
      <c r="H514" t="s">
        <v>74</v>
      </c>
      <c r="I514" t="s">
        <v>8067</v>
      </c>
      <c r="J514" t="s">
        <v>8045</v>
      </c>
      <c r="K514" t="s">
        <v>74</v>
      </c>
      <c r="L514" t="s">
        <v>74</v>
      </c>
      <c r="M514" t="s">
        <v>78</v>
      </c>
      <c r="N514" t="s">
        <v>79</v>
      </c>
      <c r="O514" t="s">
        <v>74</v>
      </c>
      <c r="P514" t="s">
        <v>74</v>
      </c>
      <c r="Q514" t="s">
        <v>74</v>
      </c>
      <c r="R514" t="s">
        <v>74</v>
      </c>
      <c r="S514" t="s">
        <v>74</v>
      </c>
      <c r="T514" t="s">
        <v>8068</v>
      </c>
      <c r="U514" t="s">
        <v>8069</v>
      </c>
      <c r="V514" t="s">
        <v>8070</v>
      </c>
      <c r="W514" t="s">
        <v>8071</v>
      </c>
      <c r="X514" t="s">
        <v>8028</v>
      </c>
      <c r="Y514" t="s">
        <v>8072</v>
      </c>
      <c r="Z514" t="s">
        <v>8073</v>
      </c>
      <c r="AA514" t="s">
        <v>8074</v>
      </c>
      <c r="AB514" t="s">
        <v>8075</v>
      </c>
      <c r="AC514" t="s">
        <v>74</v>
      </c>
      <c r="AD514" t="s">
        <v>74</v>
      </c>
      <c r="AE514" t="s">
        <v>74</v>
      </c>
      <c r="AF514" t="s">
        <v>74</v>
      </c>
      <c r="AG514">
        <v>12</v>
      </c>
      <c r="AH514">
        <v>7</v>
      </c>
      <c r="AI514">
        <v>9</v>
      </c>
      <c r="AJ514">
        <v>1</v>
      </c>
      <c r="AK514">
        <v>4</v>
      </c>
      <c r="AL514" t="s">
        <v>8055</v>
      </c>
      <c r="AM514" t="s">
        <v>8056</v>
      </c>
      <c r="AN514" t="s">
        <v>8057</v>
      </c>
      <c r="AO514" t="s">
        <v>8058</v>
      </c>
      <c r="AP514" t="s">
        <v>8059</v>
      </c>
      <c r="AQ514" t="s">
        <v>74</v>
      </c>
      <c r="AR514" t="s">
        <v>8060</v>
      </c>
      <c r="AS514" t="s">
        <v>8061</v>
      </c>
      <c r="AT514" t="s">
        <v>8038</v>
      </c>
      <c r="AU514">
        <v>2006</v>
      </c>
      <c r="AV514">
        <v>41</v>
      </c>
      <c r="AW514">
        <v>1</v>
      </c>
      <c r="AX514" t="s">
        <v>74</v>
      </c>
      <c r="AY514" t="s">
        <v>74</v>
      </c>
      <c r="AZ514" t="s">
        <v>74</v>
      </c>
      <c r="BA514" t="s">
        <v>74</v>
      </c>
      <c r="BB514">
        <v>145</v>
      </c>
      <c r="BC514">
        <v>146</v>
      </c>
      <c r="BD514" t="s">
        <v>74</v>
      </c>
      <c r="BE514" t="s">
        <v>8076</v>
      </c>
      <c r="BF514" t="str">
        <f>HYPERLINK("http://dx.doi.org/10.3377/1562-7020(2006)41[145:VSFSAB]2.0.CO;2","http://dx.doi.org/10.3377/1562-7020(2006)41[145:VSFSAB]2.0.CO;2")</f>
        <v>http://dx.doi.org/10.3377/1562-7020(2006)41[145:VSFSAB]2.0.CO;2</v>
      </c>
      <c r="BG514" t="s">
        <v>74</v>
      </c>
      <c r="BH514" t="s">
        <v>74</v>
      </c>
      <c r="BI514">
        <v>2</v>
      </c>
      <c r="BJ514" t="s">
        <v>1000</v>
      </c>
      <c r="BK514" t="s">
        <v>97</v>
      </c>
      <c r="BL514" t="s">
        <v>1000</v>
      </c>
      <c r="BM514" t="s">
        <v>8063</v>
      </c>
      <c r="BN514" t="s">
        <v>74</v>
      </c>
      <c r="BO514" t="s">
        <v>74</v>
      </c>
      <c r="BP514" t="s">
        <v>74</v>
      </c>
      <c r="BQ514" t="s">
        <v>74</v>
      </c>
      <c r="BR514" t="s">
        <v>100</v>
      </c>
      <c r="BS514" t="s">
        <v>8077</v>
      </c>
      <c r="BT514" t="str">
        <f>HYPERLINK("https%3A%2F%2Fwww.webofscience.com%2Fwos%2Fwoscc%2Ffull-record%2FWOS:000239363200018","View Full Record in Web of Science")</f>
        <v>View Full Record in Web of Science</v>
      </c>
    </row>
    <row r="515" spans="1:72" x14ac:dyDescent="0.15">
      <c r="A515" t="s">
        <v>72</v>
      </c>
      <c r="B515" t="s">
        <v>8078</v>
      </c>
      <c r="C515" t="s">
        <v>74</v>
      </c>
      <c r="D515" t="s">
        <v>74</v>
      </c>
      <c r="E515" t="s">
        <v>74</v>
      </c>
      <c r="F515" t="s">
        <v>8078</v>
      </c>
      <c r="G515" t="s">
        <v>74</v>
      </c>
      <c r="H515" t="s">
        <v>74</v>
      </c>
      <c r="I515" t="s">
        <v>8079</v>
      </c>
      <c r="J515" t="s">
        <v>77</v>
      </c>
      <c r="K515" t="s">
        <v>74</v>
      </c>
      <c r="L515" t="s">
        <v>74</v>
      </c>
      <c r="M515" t="s">
        <v>78</v>
      </c>
      <c r="N515" t="s">
        <v>79</v>
      </c>
      <c r="O515" t="s">
        <v>74</v>
      </c>
      <c r="P515" t="s">
        <v>74</v>
      </c>
      <c r="Q515" t="s">
        <v>74</v>
      </c>
      <c r="R515" t="s">
        <v>74</v>
      </c>
      <c r="S515" t="s">
        <v>74</v>
      </c>
      <c r="T515" t="s">
        <v>74</v>
      </c>
      <c r="U515" t="s">
        <v>8080</v>
      </c>
      <c r="V515" t="s">
        <v>8081</v>
      </c>
      <c r="W515" t="s">
        <v>8082</v>
      </c>
      <c r="X515" t="s">
        <v>8083</v>
      </c>
      <c r="Y515" t="s">
        <v>8084</v>
      </c>
      <c r="Z515" t="s">
        <v>8085</v>
      </c>
      <c r="AA515" t="s">
        <v>74</v>
      </c>
      <c r="AB515" t="s">
        <v>74</v>
      </c>
      <c r="AC515" t="s">
        <v>74</v>
      </c>
      <c r="AD515" t="s">
        <v>74</v>
      </c>
      <c r="AE515" t="s">
        <v>74</v>
      </c>
      <c r="AF515" t="s">
        <v>74</v>
      </c>
      <c r="AG515">
        <v>61</v>
      </c>
      <c r="AH515">
        <v>57</v>
      </c>
      <c r="AI515">
        <v>62</v>
      </c>
      <c r="AJ515">
        <v>0</v>
      </c>
      <c r="AK515">
        <v>12</v>
      </c>
      <c r="AL515" t="s">
        <v>87</v>
      </c>
      <c r="AM515" t="s">
        <v>88</v>
      </c>
      <c r="AN515" t="s">
        <v>89</v>
      </c>
      <c r="AO515" t="s">
        <v>90</v>
      </c>
      <c r="AP515" t="s">
        <v>91</v>
      </c>
      <c r="AQ515" t="s">
        <v>74</v>
      </c>
      <c r="AR515" t="s">
        <v>92</v>
      </c>
      <c r="AS515" t="s">
        <v>93</v>
      </c>
      <c r="AT515" t="s">
        <v>8038</v>
      </c>
      <c r="AU515">
        <v>2006</v>
      </c>
      <c r="AV515">
        <v>72</v>
      </c>
      <c r="AW515">
        <v>4</v>
      </c>
      <c r="AX515" t="s">
        <v>74</v>
      </c>
      <c r="AY515" t="s">
        <v>74</v>
      </c>
      <c r="AZ515" t="s">
        <v>74</v>
      </c>
      <c r="BA515" t="s">
        <v>74</v>
      </c>
      <c r="BB515">
        <v>2856</v>
      </c>
      <c r="BC515">
        <v>2863</v>
      </c>
      <c r="BD515" t="s">
        <v>74</v>
      </c>
      <c r="BE515" t="s">
        <v>8086</v>
      </c>
      <c r="BF515" t="str">
        <f>HYPERLINK("http://dx.doi.org/10.1128/AEM.72.4.2856-2863.2006","http://dx.doi.org/10.1128/AEM.72.4.2856-2863.2006")</f>
        <v>http://dx.doi.org/10.1128/AEM.72.4.2856-2863.2006</v>
      </c>
      <c r="BG515" t="s">
        <v>74</v>
      </c>
      <c r="BH515" t="s">
        <v>74</v>
      </c>
      <c r="BI515">
        <v>8</v>
      </c>
      <c r="BJ515" t="s">
        <v>96</v>
      </c>
      <c r="BK515" t="s">
        <v>97</v>
      </c>
      <c r="BL515" t="s">
        <v>96</v>
      </c>
      <c r="BM515" t="s">
        <v>8087</v>
      </c>
      <c r="BN515">
        <v>16597992</v>
      </c>
      <c r="BO515" t="s">
        <v>99</v>
      </c>
      <c r="BP515" t="s">
        <v>74</v>
      </c>
      <c r="BQ515" t="s">
        <v>74</v>
      </c>
      <c r="BR515" t="s">
        <v>100</v>
      </c>
      <c r="BS515" t="s">
        <v>8088</v>
      </c>
      <c r="BT515" t="str">
        <f>HYPERLINK("https%3A%2F%2Fwww.webofscience.com%2Fwos%2Fwoscc%2Ffull-record%2FWOS:000236749400071","View Full Record in Web of Science")</f>
        <v>View Full Record in Web of Science</v>
      </c>
    </row>
    <row r="516" spans="1:72" x14ac:dyDescent="0.15">
      <c r="A516" t="s">
        <v>72</v>
      </c>
      <c r="B516" t="s">
        <v>8089</v>
      </c>
      <c r="C516" t="s">
        <v>74</v>
      </c>
      <c r="D516" t="s">
        <v>74</v>
      </c>
      <c r="E516" t="s">
        <v>74</v>
      </c>
      <c r="F516" t="s">
        <v>8090</v>
      </c>
      <c r="G516" t="s">
        <v>74</v>
      </c>
      <c r="H516" t="s">
        <v>74</v>
      </c>
      <c r="I516" t="s">
        <v>8091</v>
      </c>
      <c r="J516" t="s">
        <v>8092</v>
      </c>
      <c r="K516" t="s">
        <v>74</v>
      </c>
      <c r="L516" t="s">
        <v>74</v>
      </c>
      <c r="M516" t="s">
        <v>78</v>
      </c>
      <c r="N516" t="s">
        <v>79</v>
      </c>
      <c r="O516" t="s">
        <v>74</v>
      </c>
      <c r="P516" t="s">
        <v>74</v>
      </c>
      <c r="Q516" t="s">
        <v>74</v>
      </c>
      <c r="R516" t="s">
        <v>74</v>
      </c>
      <c r="S516" t="s">
        <v>74</v>
      </c>
      <c r="T516" t="s">
        <v>8093</v>
      </c>
      <c r="U516" t="s">
        <v>8094</v>
      </c>
      <c r="V516" t="s">
        <v>8095</v>
      </c>
      <c r="W516" t="s">
        <v>8096</v>
      </c>
      <c r="X516" t="s">
        <v>8097</v>
      </c>
      <c r="Y516" t="s">
        <v>8098</v>
      </c>
      <c r="Z516" t="s">
        <v>8099</v>
      </c>
      <c r="AA516" t="s">
        <v>8100</v>
      </c>
      <c r="AB516" t="s">
        <v>8101</v>
      </c>
      <c r="AC516" t="s">
        <v>5824</v>
      </c>
      <c r="AD516" t="s">
        <v>413</v>
      </c>
      <c r="AE516" t="s">
        <v>74</v>
      </c>
      <c r="AF516" t="s">
        <v>74</v>
      </c>
      <c r="AG516">
        <v>49</v>
      </c>
      <c r="AH516">
        <v>8</v>
      </c>
      <c r="AI516">
        <v>8</v>
      </c>
      <c r="AJ516">
        <v>0</v>
      </c>
      <c r="AK516">
        <v>18</v>
      </c>
      <c r="AL516" t="s">
        <v>994</v>
      </c>
      <c r="AM516" t="s">
        <v>476</v>
      </c>
      <c r="AN516" t="s">
        <v>1519</v>
      </c>
      <c r="AO516" t="s">
        <v>8102</v>
      </c>
      <c r="AP516" t="s">
        <v>8103</v>
      </c>
      <c r="AQ516" t="s">
        <v>74</v>
      </c>
      <c r="AR516" t="s">
        <v>8104</v>
      </c>
      <c r="AS516" t="s">
        <v>8105</v>
      </c>
      <c r="AT516" t="s">
        <v>8038</v>
      </c>
      <c r="AU516">
        <v>2006</v>
      </c>
      <c r="AV516">
        <v>12</v>
      </c>
      <c r="AW516">
        <v>2</v>
      </c>
      <c r="AX516" t="s">
        <v>74</v>
      </c>
      <c r="AY516" t="s">
        <v>74</v>
      </c>
      <c r="AZ516" t="s">
        <v>74</v>
      </c>
      <c r="BA516" t="s">
        <v>74</v>
      </c>
      <c r="BB516">
        <v>161</v>
      </c>
      <c r="BC516">
        <v>178</v>
      </c>
      <c r="BD516" t="s">
        <v>74</v>
      </c>
      <c r="BE516" t="s">
        <v>8106</v>
      </c>
      <c r="BF516" t="str">
        <f>HYPERLINK("http://dx.doi.org/10.1007/s10498-005-3882-x","http://dx.doi.org/10.1007/s10498-005-3882-x")</f>
        <v>http://dx.doi.org/10.1007/s10498-005-3882-x</v>
      </c>
      <c r="BG516" t="s">
        <v>74</v>
      </c>
      <c r="BH516" t="s">
        <v>74</v>
      </c>
      <c r="BI516">
        <v>18</v>
      </c>
      <c r="BJ516" t="s">
        <v>608</v>
      </c>
      <c r="BK516" t="s">
        <v>97</v>
      </c>
      <c r="BL516" t="s">
        <v>608</v>
      </c>
      <c r="BM516" t="s">
        <v>8107</v>
      </c>
      <c r="BN516" t="s">
        <v>74</v>
      </c>
      <c r="BO516" t="s">
        <v>74</v>
      </c>
      <c r="BP516" t="s">
        <v>74</v>
      </c>
      <c r="BQ516" t="s">
        <v>74</v>
      </c>
      <c r="BR516" t="s">
        <v>100</v>
      </c>
      <c r="BS516" t="s">
        <v>8108</v>
      </c>
      <c r="BT516" t="str">
        <f>HYPERLINK("https%3A%2F%2Fwww.webofscience.com%2Fwos%2Fwoscc%2Ffull-record%2FWOS:000237500000003","View Full Record in Web of Science")</f>
        <v>View Full Record in Web of Science</v>
      </c>
    </row>
    <row r="517" spans="1:72" x14ac:dyDescent="0.15">
      <c r="A517" t="s">
        <v>72</v>
      </c>
      <c r="B517" t="s">
        <v>8109</v>
      </c>
      <c r="C517" t="s">
        <v>74</v>
      </c>
      <c r="D517" t="s">
        <v>74</v>
      </c>
      <c r="E517" t="s">
        <v>74</v>
      </c>
      <c r="F517" t="s">
        <v>8110</v>
      </c>
      <c r="G517" t="s">
        <v>74</v>
      </c>
      <c r="H517" t="s">
        <v>74</v>
      </c>
      <c r="I517" t="s">
        <v>8111</v>
      </c>
      <c r="J517" t="s">
        <v>8112</v>
      </c>
      <c r="K517" t="s">
        <v>74</v>
      </c>
      <c r="L517" t="s">
        <v>74</v>
      </c>
      <c r="M517" t="s">
        <v>78</v>
      </c>
      <c r="N517" t="s">
        <v>79</v>
      </c>
      <c r="O517" t="s">
        <v>74</v>
      </c>
      <c r="P517" t="s">
        <v>74</v>
      </c>
      <c r="Q517" t="s">
        <v>74</v>
      </c>
      <c r="R517" t="s">
        <v>74</v>
      </c>
      <c r="S517" t="s">
        <v>74</v>
      </c>
      <c r="T517" t="s">
        <v>8113</v>
      </c>
      <c r="U517" t="s">
        <v>8114</v>
      </c>
      <c r="V517" t="s">
        <v>8115</v>
      </c>
      <c r="W517" t="s">
        <v>8116</v>
      </c>
      <c r="X517" t="s">
        <v>8117</v>
      </c>
      <c r="Y517" t="s">
        <v>8118</v>
      </c>
      <c r="Z517" t="s">
        <v>8119</v>
      </c>
      <c r="AA517" t="s">
        <v>74</v>
      </c>
      <c r="AB517" t="s">
        <v>74</v>
      </c>
      <c r="AC517" t="s">
        <v>74</v>
      </c>
      <c r="AD517" t="s">
        <v>74</v>
      </c>
      <c r="AE517" t="s">
        <v>74</v>
      </c>
      <c r="AF517" t="s">
        <v>74</v>
      </c>
      <c r="AG517">
        <v>63</v>
      </c>
      <c r="AH517">
        <v>13</v>
      </c>
      <c r="AI517">
        <v>13</v>
      </c>
      <c r="AJ517">
        <v>0</v>
      </c>
      <c r="AK517">
        <v>2</v>
      </c>
      <c r="AL517" t="s">
        <v>136</v>
      </c>
      <c r="AM517" t="s">
        <v>137</v>
      </c>
      <c r="AN517" t="s">
        <v>138</v>
      </c>
      <c r="AO517" t="s">
        <v>8120</v>
      </c>
      <c r="AP517" t="s">
        <v>8121</v>
      </c>
      <c r="AQ517" t="s">
        <v>74</v>
      </c>
      <c r="AR517" t="s">
        <v>8122</v>
      </c>
      <c r="AS517" t="s">
        <v>8123</v>
      </c>
      <c r="AT517" t="s">
        <v>8038</v>
      </c>
      <c r="AU517">
        <v>2006</v>
      </c>
      <c r="AV517">
        <v>53</v>
      </c>
      <c r="AW517">
        <v>2</v>
      </c>
      <c r="AX517" t="s">
        <v>74</v>
      </c>
      <c r="AY517" t="s">
        <v>74</v>
      </c>
      <c r="AZ517" t="s">
        <v>74</v>
      </c>
      <c r="BA517" t="s">
        <v>74</v>
      </c>
      <c r="BB517">
        <v>213</v>
      </c>
      <c r="BC517">
        <v>234</v>
      </c>
      <c r="BD517" t="s">
        <v>74</v>
      </c>
      <c r="BE517" t="s">
        <v>8124</v>
      </c>
      <c r="BF517" t="str">
        <f>HYPERLINK("http://dx.doi.org/10.1080/08120090500499248","http://dx.doi.org/10.1080/08120090500499248")</f>
        <v>http://dx.doi.org/10.1080/08120090500499248</v>
      </c>
      <c r="BG517" t="s">
        <v>74</v>
      </c>
      <c r="BH517" t="s">
        <v>74</v>
      </c>
      <c r="BI517">
        <v>22</v>
      </c>
      <c r="BJ517" t="s">
        <v>527</v>
      </c>
      <c r="BK517" t="s">
        <v>97</v>
      </c>
      <c r="BL517" t="s">
        <v>528</v>
      </c>
      <c r="BM517" t="s">
        <v>8125</v>
      </c>
      <c r="BN517" t="s">
        <v>74</v>
      </c>
      <c r="BO517" t="s">
        <v>74</v>
      </c>
      <c r="BP517" t="s">
        <v>74</v>
      </c>
      <c r="BQ517" t="s">
        <v>74</v>
      </c>
      <c r="BR517" t="s">
        <v>100</v>
      </c>
      <c r="BS517" t="s">
        <v>8126</v>
      </c>
      <c r="BT517" t="str">
        <f>HYPERLINK("https%3A%2F%2Fwww.webofscience.com%2Fwos%2Fwoscc%2Ffull-record%2FWOS:000237559000001","View Full Record in Web of Science")</f>
        <v>View Full Record in Web of Science</v>
      </c>
    </row>
    <row r="518" spans="1:72" x14ac:dyDescent="0.15">
      <c r="A518" t="s">
        <v>72</v>
      </c>
      <c r="B518" t="s">
        <v>8127</v>
      </c>
      <c r="C518" t="s">
        <v>74</v>
      </c>
      <c r="D518" t="s">
        <v>74</v>
      </c>
      <c r="E518" t="s">
        <v>74</v>
      </c>
      <c r="F518" t="s">
        <v>8127</v>
      </c>
      <c r="G518" t="s">
        <v>74</v>
      </c>
      <c r="H518" t="s">
        <v>74</v>
      </c>
      <c r="I518" t="s">
        <v>8128</v>
      </c>
      <c r="J518" t="s">
        <v>2622</v>
      </c>
      <c r="K518" t="s">
        <v>74</v>
      </c>
      <c r="L518" t="s">
        <v>74</v>
      </c>
      <c r="M518" t="s">
        <v>78</v>
      </c>
      <c r="N518" t="s">
        <v>79</v>
      </c>
      <c r="O518" t="s">
        <v>74</v>
      </c>
      <c r="P518" t="s">
        <v>74</v>
      </c>
      <c r="Q518" t="s">
        <v>74</v>
      </c>
      <c r="R518" t="s">
        <v>74</v>
      </c>
      <c r="S518" t="s">
        <v>74</v>
      </c>
      <c r="T518" t="s">
        <v>8129</v>
      </c>
      <c r="U518" t="s">
        <v>8130</v>
      </c>
      <c r="V518" t="s">
        <v>8131</v>
      </c>
      <c r="W518" t="s">
        <v>8132</v>
      </c>
      <c r="X518" t="s">
        <v>8133</v>
      </c>
      <c r="Y518" t="s">
        <v>8134</v>
      </c>
      <c r="Z518" t="s">
        <v>8135</v>
      </c>
      <c r="AA518" t="s">
        <v>8136</v>
      </c>
      <c r="AB518" t="s">
        <v>8137</v>
      </c>
      <c r="AC518" t="s">
        <v>74</v>
      </c>
      <c r="AD518" t="s">
        <v>74</v>
      </c>
      <c r="AE518" t="s">
        <v>74</v>
      </c>
      <c r="AF518" t="s">
        <v>74</v>
      </c>
      <c r="AG518">
        <v>35</v>
      </c>
      <c r="AH518">
        <v>97</v>
      </c>
      <c r="AI518">
        <v>120</v>
      </c>
      <c r="AJ518">
        <v>1</v>
      </c>
      <c r="AK518">
        <v>81</v>
      </c>
      <c r="AL518" t="s">
        <v>2630</v>
      </c>
      <c r="AM518" t="s">
        <v>388</v>
      </c>
      <c r="AN518" t="s">
        <v>2631</v>
      </c>
      <c r="AO518" t="s">
        <v>2632</v>
      </c>
      <c r="AP518" t="s">
        <v>74</v>
      </c>
      <c r="AQ518" t="s">
        <v>74</v>
      </c>
      <c r="AR518" t="s">
        <v>2633</v>
      </c>
      <c r="AS518" t="s">
        <v>2634</v>
      </c>
      <c r="AT518" t="s">
        <v>8038</v>
      </c>
      <c r="AU518">
        <v>2006</v>
      </c>
      <c r="AV518">
        <v>128</v>
      </c>
      <c r="AW518">
        <v>4</v>
      </c>
      <c r="AX518" t="s">
        <v>74</v>
      </c>
      <c r="AY518" t="s">
        <v>74</v>
      </c>
      <c r="AZ518" t="s">
        <v>74</v>
      </c>
      <c r="BA518" t="s">
        <v>74</v>
      </c>
      <c r="BB518">
        <v>467</v>
      </c>
      <c r="BC518">
        <v>474</v>
      </c>
      <c r="BD518" t="s">
        <v>74</v>
      </c>
      <c r="BE518" t="s">
        <v>8138</v>
      </c>
      <c r="BF518" t="str">
        <f>HYPERLINK("http://dx.doi.org/10.1016/j.biocon.2005.10.011","http://dx.doi.org/10.1016/j.biocon.2005.10.011")</f>
        <v>http://dx.doi.org/10.1016/j.biocon.2005.10.011</v>
      </c>
      <c r="BG518" t="s">
        <v>74</v>
      </c>
      <c r="BH518" t="s">
        <v>74</v>
      </c>
      <c r="BI518">
        <v>8</v>
      </c>
      <c r="BJ518" t="s">
        <v>2637</v>
      </c>
      <c r="BK518" t="s">
        <v>97</v>
      </c>
      <c r="BL518" t="s">
        <v>1526</v>
      </c>
      <c r="BM518" t="s">
        <v>8139</v>
      </c>
      <c r="BN518" t="s">
        <v>74</v>
      </c>
      <c r="BO518" t="s">
        <v>74</v>
      </c>
      <c r="BP518" t="s">
        <v>74</v>
      </c>
      <c r="BQ518" t="s">
        <v>74</v>
      </c>
      <c r="BR518" t="s">
        <v>100</v>
      </c>
      <c r="BS518" t="s">
        <v>8140</v>
      </c>
      <c r="BT518" t="str">
        <f>HYPERLINK("https%3A%2F%2Fwww.webofscience.com%2Fwos%2Fwoscc%2Ffull-record%2FWOS:000236100800004","View Full Record in Web of Science")</f>
        <v>View Full Record in Web of Science</v>
      </c>
    </row>
    <row r="519" spans="1:72" x14ac:dyDescent="0.15">
      <c r="A519" t="s">
        <v>72</v>
      </c>
      <c r="B519" t="s">
        <v>8141</v>
      </c>
      <c r="C519" t="s">
        <v>74</v>
      </c>
      <c r="D519" t="s">
        <v>74</v>
      </c>
      <c r="E519" t="s">
        <v>74</v>
      </c>
      <c r="F519" t="s">
        <v>8141</v>
      </c>
      <c r="G519" t="s">
        <v>74</v>
      </c>
      <c r="H519" t="s">
        <v>74</v>
      </c>
      <c r="I519" t="s">
        <v>8142</v>
      </c>
      <c r="J519" t="s">
        <v>2663</v>
      </c>
      <c r="K519" t="s">
        <v>74</v>
      </c>
      <c r="L519" t="s">
        <v>74</v>
      </c>
      <c r="M519" t="s">
        <v>78</v>
      </c>
      <c r="N519" t="s">
        <v>79</v>
      </c>
      <c r="O519" t="s">
        <v>74</v>
      </c>
      <c r="P519" t="s">
        <v>74</v>
      </c>
      <c r="Q519" t="s">
        <v>74</v>
      </c>
      <c r="R519" t="s">
        <v>74</v>
      </c>
      <c r="S519" t="s">
        <v>74</v>
      </c>
      <c r="T519" t="s">
        <v>74</v>
      </c>
      <c r="U519" t="s">
        <v>8143</v>
      </c>
      <c r="V519" t="s">
        <v>8144</v>
      </c>
      <c r="W519" t="s">
        <v>8145</v>
      </c>
      <c r="X519" t="s">
        <v>8146</v>
      </c>
      <c r="Y519" t="s">
        <v>8147</v>
      </c>
      <c r="Z519" t="s">
        <v>8148</v>
      </c>
      <c r="AA519" t="s">
        <v>8149</v>
      </c>
      <c r="AB519" t="s">
        <v>8150</v>
      </c>
      <c r="AC519" t="s">
        <v>74</v>
      </c>
      <c r="AD519" t="s">
        <v>74</v>
      </c>
      <c r="AE519" t="s">
        <v>74</v>
      </c>
      <c r="AF519" t="s">
        <v>74</v>
      </c>
      <c r="AG519">
        <v>72</v>
      </c>
      <c r="AH519">
        <v>215</v>
      </c>
      <c r="AI519">
        <v>229</v>
      </c>
      <c r="AJ519">
        <v>5</v>
      </c>
      <c r="AK519">
        <v>97</v>
      </c>
      <c r="AL519" t="s">
        <v>994</v>
      </c>
      <c r="AM519" t="s">
        <v>476</v>
      </c>
      <c r="AN519" t="s">
        <v>1551</v>
      </c>
      <c r="AO519" t="s">
        <v>2671</v>
      </c>
      <c r="AP519" t="s">
        <v>2672</v>
      </c>
      <c r="AQ519" t="s">
        <v>74</v>
      </c>
      <c r="AR519" t="s">
        <v>2673</v>
      </c>
      <c r="AS519" t="s">
        <v>2674</v>
      </c>
      <c r="AT519" t="s">
        <v>8038</v>
      </c>
      <c r="AU519">
        <v>2006</v>
      </c>
      <c r="AV519">
        <v>26</v>
      </c>
      <c r="AW519">
        <v>5</v>
      </c>
      <c r="AX519" t="s">
        <v>74</v>
      </c>
      <c r="AY519" t="s">
        <v>74</v>
      </c>
      <c r="AZ519" t="s">
        <v>74</v>
      </c>
      <c r="BA519" t="s">
        <v>74</v>
      </c>
      <c r="BB519">
        <v>513</v>
      </c>
      <c r="BC519">
        <v>529</v>
      </c>
      <c r="BD519" t="s">
        <v>74</v>
      </c>
      <c r="BE519" t="s">
        <v>8151</v>
      </c>
      <c r="BF519" t="str">
        <f>HYPERLINK("http://dx.doi.org/10.1007/s00382-005-0081-9","http://dx.doi.org/10.1007/s00382-005-0081-9")</f>
        <v>http://dx.doi.org/10.1007/s00382-005-0081-9</v>
      </c>
      <c r="BG519" t="s">
        <v>74</v>
      </c>
      <c r="BH519" t="s">
        <v>74</v>
      </c>
      <c r="BI519">
        <v>17</v>
      </c>
      <c r="BJ519" t="s">
        <v>869</v>
      </c>
      <c r="BK519" t="s">
        <v>97</v>
      </c>
      <c r="BL519" t="s">
        <v>869</v>
      </c>
      <c r="BM519" t="s">
        <v>8152</v>
      </c>
      <c r="BN519" t="s">
        <v>74</v>
      </c>
      <c r="BO519" t="s">
        <v>74</v>
      </c>
      <c r="BP519" t="s">
        <v>74</v>
      </c>
      <c r="BQ519" t="s">
        <v>74</v>
      </c>
      <c r="BR519" t="s">
        <v>100</v>
      </c>
      <c r="BS519" t="s">
        <v>8153</v>
      </c>
      <c r="BT519" t="str">
        <f>HYPERLINK("https%3A%2F%2Fwww.webofscience.com%2Fwos%2Fwoscc%2Ffull-record%2FWOS:000235865800005","View Full Record in Web of Science")</f>
        <v>View Full Record in Web of Science</v>
      </c>
    </row>
    <row r="520" spans="1:72" x14ac:dyDescent="0.15">
      <c r="A520" t="s">
        <v>72</v>
      </c>
      <c r="B520" t="s">
        <v>8154</v>
      </c>
      <c r="C520" t="s">
        <v>74</v>
      </c>
      <c r="D520" t="s">
        <v>74</v>
      </c>
      <c r="E520" t="s">
        <v>74</v>
      </c>
      <c r="F520" t="s">
        <v>8155</v>
      </c>
      <c r="G520" t="s">
        <v>74</v>
      </c>
      <c r="H520" t="s">
        <v>74</v>
      </c>
      <c r="I520" t="s">
        <v>8156</v>
      </c>
      <c r="J520" t="s">
        <v>8157</v>
      </c>
      <c r="K520" t="s">
        <v>74</v>
      </c>
      <c r="L520" t="s">
        <v>74</v>
      </c>
      <c r="M520" t="s">
        <v>78</v>
      </c>
      <c r="N520" t="s">
        <v>52</v>
      </c>
      <c r="O520" t="s">
        <v>74</v>
      </c>
      <c r="P520" t="s">
        <v>74</v>
      </c>
      <c r="Q520" t="s">
        <v>74</v>
      </c>
      <c r="R520" t="s">
        <v>74</v>
      </c>
      <c r="S520" t="s">
        <v>74</v>
      </c>
      <c r="T520" t="s">
        <v>74</v>
      </c>
      <c r="U520" t="s">
        <v>74</v>
      </c>
      <c r="V520" t="s">
        <v>74</v>
      </c>
      <c r="W520" t="s">
        <v>8158</v>
      </c>
      <c r="X520" t="s">
        <v>1007</v>
      </c>
      <c r="Y520" t="s">
        <v>74</v>
      </c>
      <c r="Z520" t="s">
        <v>74</v>
      </c>
      <c r="AA520" t="s">
        <v>74</v>
      </c>
      <c r="AB520" t="s">
        <v>74</v>
      </c>
      <c r="AC520" t="s">
        <v>74</v>
      </c>
      <c r="AD520" t="s">
        <v>74</v>
      </c>
      <c r="AE520" t="s">
        <v>74</v>
      </c>
      <c r="AF520" t="s">
        <v>74</v>
      </c>
      <c r="AG520">
        <v>0</v>
      </c>
      <c r="AH520">
        <v>0</v>
      </c>
      <c r="AI520">
        <v>0</v>
      </c>
      <c r="AJ520">
        <v>0</v>
      </c>
      <c r="AK520">
        <v>1</v>
      </c>
      <c r="AL520" t="s">
        <v>475</v>
      </c>
      <c r="AM520" t="s">
        <v>476</v>
      </c>
      <c r="AN520" t="s">
        <v>477</v>
      </c>
      <c r="AO520" t="s">
        <v>8159</v>
      </c>
      <c r="AP520" t="s">
        <v>74</v>
      </c>
      <c r="AQ520" t="s">
        <v>74</v>
      </c>
      <c r="AR520" t="s">
        <v>8160</v>
      </c>
      <c r="AS520" t="s">
        <v>8161</v>
      </c>
      <c r="AT520" t="s">
        <v>8038</v>
      </c>
      <c r="AU520">
        <v>2006</v>
      </c>
      <c r="AV520">
        <v>143</v>
      </c>
      <c r="AW520">
        <v>4</v>
      </c>
      <c r="AX520" t="s">
        <v>74</v>
      </c>
      <c r="AY520" t="s">
        <v>652</v>
      </c>
      <c r="AZ520" t="s">
        <v>74</v>
      </c>
      <c r="BA520" t="s">
        <v>74</v>
      </c>
      <c r="BB520" t="s">
        <v>8162</v>
      </c>
      <c r="BC520" t="s">
        <v>8162</v>
      </c>
      <c r="BD520" t="s">
        <v>74</v>
      </c>
      <c r="BE520" t="s">
        <v>74</v>
      </c>
      <c r="BF520" t="s">
        <v>74</v>
      </c>
      <c r="BG520" t="s">
        <v>74</v>
      </c>
      <c r="BH520" t="s">
        <v>74</v>
      </c>
      <c r="BI520">
        <v>1</v>
      </c>
      <c r="BJ520" t="s">
        <v>8163</v>
      </c>
      <c r="BK520" t="s">
        <v>97</v>
      </c>
      <c r="BL520" t="s">
        <v>8163</v>
      </c>
      <c r="BM520" t="s">
        <v>8164</v>
      </c>
      <c r="BN520" t="s">
        <v>74</v>
      </c>
      <c r="BO520" t="s">
        <v>74</v>
      </c>
      <c r="BP520" t="s">
        <v>74</v>
      </c>
      <c r="BQ520" t="s">
        <v>74</v>
      </c>
      <c r="BR520" t="s">
        <v>100</v>
      </c>
      <c r="BS520" t="s">
        <v>8165</v>
      </c>
      <c r="BT520" t="str">
        <f>HYPERLINK("https%3A%2F%2Fwww.webofscience.com%2Fwos%2Fwoscc%2Ffull-record%2FWOS:000202991700069","View Full Record in Web of Science")</f>
        <v>View Full Record in Web of Science</v>
      </c>
    </row>
    <row r="521" spans="1:72" x14ac:dyDescent="0.15">
      <c r="A521" t="s">
        <v>72</v>
      </c>
      <c r="B521" t="s">
        <v>8166</v>
      </c>
      <c r="C521" t="s">
        <v>74</v>
      </c>
      <c r="D521" t="s">
        <v>74</v>
      </c>
      <c r="E521" t="s">
        <v>74</v>
      </c>
      <c r="F521" t="s">
        <v>8167</v>
      </c>
      <c r="G521" t="s">
        <v>74</v>
      </c>
      <c r="H521" t="s">
        <v>74</v>
      </c>
      <c r="I521" t="s">
        <v>8168</v>
      </c>
      <c r="J521" t="s">
        <v>8157</v>
      </c>
      <c r="K521" t="s">
        <v>74</v>
      </c>
      <c r="L521" t="s">
        <v>74</v>
      </c>
      <c r="M521" t="s">
        <v>78</v>
      </c>
      <c r="N521" t="s">
        <v>52</v>
      </c>
      <c r="O521" t="s">
        <v>74</v>
      </c>
      <c r="P521" t="s">
        <v>74</v>
      </c>
      <c r="Q521" t="s">
        <v>74</v>
      </c>
      <c r="R521" t="s">
        <v>74</v>
      </c>
      <c r="S521" t="s">
        <v>74</v>
      </c>
      <c r="T521" t="s">
        <v>74</v>
      </c>
      <c r="U521" t="s">
        <v>74</v>
      </c>
      <c r="V521" t="s">
        <v>74</v>
      </c>
      <c r="W521" t="s">
        <v>8169</v>
      </c>
      <c r="X521" t="s">
        <v>407</v>
      </c>
      <c r="Y521" t="s">
        <v>74</v>
      </c>
      <c r="Z521" t="s">
        <v>74</v>
      </c>
      <c r="AA521" t="s">
        <v>74</v>
      </c>
      <c r="AB521" t="s">
        <v>74</v>
      </c>
      <c r="AC521" t="s">
        <v>74</v>
      </c>
      <c r="AD521" t="s">
        <v>74</v>
      </c>
      <c r="AE521" t="s">
        <v>74</v>
      </c>
      <c r="AF521" t="s">
        <v>74</v>
      </c>
      <c r="AG521">
        <v>0</v>
      </c>
      <c r="AH521">
        <v>0</v>
      </c>
      <c r="AI521">
        <v>0</v>
      </c>
      <c r="AJ521">
        <v>0</v>
      </c>
      <c r="AK521">
        <v>3</v>
      </c>
      <c r="AL521" t="s">
        <v>475</v>
      </c>
      <c r="AM521" t="s">
        <v>476</v>
      </c>
      <c r="AN521" t="s">
        <v>477</v>
      </c>
      <c r="AO521" t="s">
        <v>8159</v>
      </c>
      <c r="AP521" t="s">
        <v>74</v>
      </c>
      <c r="AQ521" t="s">
        <v>74</v>
      </c>
      <c r="AR521" t="s">
        <v>8160</v>
      </c>
      <c r="AS521" t="s">
        <v>8161</v>
      </c>
      <c r="AT521" t="s">
        <v>8038</v>
      </c>
      <c r="AU521">
        <v>2006</v>
      </c>
      <c r="AV521">
        <v>143</v>
      </c>
      <c r="AW521">
        <v>4</v>
      </c>
      <c r="AX521" t="s">
        <v>74</v>
      </c>
      <c r="AY521" t="s">
        <v>652</v>
      </c>
      <c r="AZ521" t="s">
        <v>74</v>
      </c>
      <c r="BA521" t="s">
        <v>74</v>
      </c>
      <c r="BB521" t="s">
        <v>8170</v>
      </c>
      <c r="BC521" t="s">
        <v>8170</v>
      </c>
      <c r="BD521" t="s">
        <v>74</v>
      </c>
      <c r="BE521" t="s">
        <v>74</v>
      </c>
      <c r="BF521" t="s">
        <v>74</v>
      </c>
      <c r="BG521" t="s">
        <v>74</v>
      </c>
      <c r="BH521" t="s">
        <v>74</v>
      </c>
      <c r="BI521">
        <v>1</v>
      </c>
      <c r="BJ521" t="s">
        <v>8163</v>
      </c>
      <c r="BK521" t="s">
        <v>97</v>
      </c>
      <c r="BL521" t="s">
        <v>8163</v>
      </c>
      <c r="BM521" t="s">
        <v>8164</v>
      </c>
      <c r="BN521" t="s">
        <v>74</v>
      </c>
      <c r="BO521" t="s">
        <v>74</v>
      </c>
      <c r="BP521" t="s">
        <v>74</v>
      </c>
      <c r="BQ521" t="s">
        <v>74</v>
      </c>
      <c r="BR521" t="s">
        <v>100</v>
      </c>
      <c r="BS521" t="s">
        <v>8171</v>
      </c>
      <c r="BT521" t="str">
        <f>HYPERLINK("https%3A%2F%2Fwww.webofscience.com%2Fwos%2Fwoscc%2Ffull-record%2FWOS:000202991700272","View Full Record in Web of Science")</f>
        <v>View Full Record in Web of Science</v>
      </c>
    </row>
    <row r="522" spans="1:72" x14ac:dyDescent="0.15">
      <c r="A522" t="s">
        <v>72</v>
      </c>
      <c r="B522" t="s">
        <v>8172</v>
      </c>
      <c r="C522" t="s">
        <v>74</v>
      </c>
      <c r="D522" t="s">
        <v>74</v>
      </c>
      <c r="E522" t="s">
        <v>74</v>
      </c>
      <c r="F522" t="s">
        <v>8173</v>
      </c>
      <c r="G522" t="s">
        <v>74</v>
      </c>
      <c r="H522" t="s">
        <v>74</v>
      </c>
      <c r="I522" t="s">
        <v>8174</v>
      </c>
      <c r="J522" t="s">
        <v>8157</v>
      </c>
      <c r="K522" t="s">
        <v>74</v>
      </c>
      <c r="L522" t="s">
        <v>74</v>
      </c>
      <c r="M522" t="s">
        <v>78</v>
      </c>
      <c r="N522" t="s">
        <v>52</v>
      </c>
      <c r="O522" t="s">
        <v>74</v>
      </c>
      <c r="P522" t="s">
        <v>74</v>
      </c>
      <c r="Q522" t="s">
        <v>74</v>
      </c>
      <c r="R522" t="s">
        <v>74</v>
      </c>
      <c r="S522" t="s">
        <v>74</v>
      </c>
      <c r="T522" t="s">
        <v>74</v>
      </c>
      <c r="U522" t="s">
        <v>74</v>
      </c>
      <c r="V522" t="s">
        <v>74</v>
      </c>
      <c r="W522" t="s">
        <v>8175</v>
      </c>
      <c r="X522" t="s">
        <v>8176</v>
      </c>
      <c r="Y522" t="s">
        <v>74</v>
      </c>
      <c r="Z522" t="s">
        <v>74</v>
      </c>
      <c r="AA522" t="s">
        <v>8177</v>
      </c>
      <c r="AB522" t="s">
        <v>74</v>
      </c>
      <c r="AC522" t="s">
        <v>74</v>
      </c>
      <c r="AD522" t="s">
        <v>74</v>
      </c>
      <c r="AE522" t="s">
        <v>74</v>
      </c>
      <c r="AF522" t="s">
        <v>74</v>
      </c>
      <c r="AG522">
        <v>0</v>
      </c>
      <c r="AH522">
        <v>0</v>
      </c>
      <c r="AI522">
        <v>0</v>
      </c>
      <c r="AJ522">
        <v>0</v>
      </c>
      <c r="AK522">
        <v>0</v>
      </c>
      <c r="AL522" t="s">
        <v>475</v>
      </c>
      <c r="AM522" t="s">
        <v>476</v>
      </c>
      <c r="AN522" t="s">
        <v>477</v>
      </c>
      <c r="AO522" t="s">
        <v>8159</v>
      </c>
      <c r="AP522" t="s">
        <v>74</v>
      </c>
      <c r="AQ522" t="s">
        <v>74</v>
      </c>
      <c r="AR522" t="s">
        <v>8160</v>
      </c>
      <c r="AS522" t="s">
        <v>8161</v>
      </c>
      <c r="AT522" t="s">
        <v>8038</v>
      </c>
      <c r="AU522">
        <v>2006</v>
      </c>
      <c r="AV522">
        <v>143</v>
      </c>
      <c r="AW522">
        <v>4</v>
      </c>
      <c r="AX522" t="s">
        <v>74</v>
      </c>
      <c r="AY522" t="s">
        <v>652</v>
      </c>
      <c r="AZ522" t="s">
        <v>74</v>
      </c>
      <c r="BA522" t="s">
        <v>74</v>
      </c>
      <c r="BB522" t="s">
        <v>8178</v>
      </c>
      <c r="BC522" t="s">
        <v>8178</v>
      </c>
      <c r="BD522" t="s">
        <v>74</v>
      </c>
      <c r="BE522" t="s">
        <v>74</v>
      </c>
      <c r="BF522" t="s">
        <v>74</v>
      </c>
      <c r="BG522" t="s">
        <v>74</v>
      </c>
      <c r="BH522" t="s">
        <v>74</v>
      </c>
      <c r="BI522">
        <v>1</v>
      </c>
      <c r="BJ522" t="s">
        <v>8163</v>
      </c>
      <c r="BK522" t="s">
        <v>97</v>
      </c>
      <c r="BL522" t="s">
        <v>8163</v>
      </c>
      <c r="BM522" t="s">
        <v>8164</v>
      </c>
      <c r="BN522" t="s">
        <v>74</v>
      </c>
      <c r="BO522" t="s">
        <v>74</v>
      </c>
      <c r="BP522" t="s">
        <v>74</v>
      </c>
      <c r="BQ522" t="s">
        <v>74</v>
      </c>
      <c r="BR522" t="s">
        <v>100</v>
      </c>
      <c r="BS522" t="s">
        <v>8179</v>
      </c>
      <c r="BT522" t="str">
        <f>HYPERLINK("https%3A%2F%2Fwww.webofscience.com%2Fwos%2Fwoscc%2Ffull-record%2FWOS:000202991700092","View Full Record in Web of Science")</f>
        <v>View Full Record in Web of Science</v>
      </c>
    </row>
    <row r="523" spans="1:72" x14ac:dyDescent="0.15">
      <c r="A523" t="s">
        <v>72</v>
      </c>
      <c r="B523" t="s">
        <v>8180</v>
      </c>
      <c r="C523" t="s">
        <v>74</v>
      </c>
      <c r="D523" t="s">
        <v>74</v>
      </c>
      <c r="E523" t="s">
        <v>74</v>
      </c>
      <c r="F523" t="s">
        <v>8180</v>
      </c>
      <c r="G523" t="s">
        <v>74</v>
      </c>
      <c r="H523" t="s">
        <v>74</v>
      </c>
      <c r="I523" t="s">
        <v>8181</v>
      </c>
      <c r="J523" t="s">
        <v>8182</v>
      </c>
      <c r="K523" t="s">
        <v>74</v>
      </c>
      <c r="L523" t="s">
        <v>74</v>
      </c>
      <c r="M523" t="s">
        <v>78</v>
      </c>
      <c r="N523" t="s">
        <v>79</v>
      </c>
      <c r="O523" t="s">
        <v>74</v>
      </c>
      <c r="P523" t="s">
        <v>74</v>
      </c>
      <c r="Q523" t="s">
        <v>74</v>
      </c>
      <c r="R523" t="s">
        <v>74</v>
      </c>
      <c r="S523" t="s">
        <v>74</v>
      </c>
      <c r="T523" t="s">
        <v>74</v>
      </c>
      <c r="U523" t="s">
        <v>8183</v>
      </c>
      <c r="V523" t="s">
        <v>8184</v>
      </c>
      <c r="W523" t="s">
        <v>8185</v>
      </c>
      <c r="X523" t="s">
        <v>8186</v>
      </c>
      <c r="Y523" t="s">
        <v>8187</v>
      </c>
      <c r="Z523" t="s">
        <v>8188</v>
      </c>
      <c r="AA523" t="s">
        <v>8189</v>
      </c>
      <c r="AB523" t="s">
        <v>8190</v>
      </c>
      <c r="AC523" t="s">
        <v>74</v>
      </c>
      <c r="AD523" t="s">
        <v>74</v>
      </c>
      <c r="AE523" t="s">
        <v>74</v>
      </c>
      <c r="AF523" t="s">
        <v>74</v>
      </c>
      <c r="AG523">
        <v>92</v>
      </c>
      <c r="AH523">
        <v>17</v>
      </c>
      <c r="AI523">
        <v>27</v>
      </c>
      <c r="AJ523">
        <v>1</v>
      </c>
      <c r="AK523">
        <v>34</v>
      </c>
      <c r="AL523" t="s">
        <v>8191</v>
      </c>
      <c r="AM523" t="s">
        <v>498</v>
      </c>
      <c r="AN523" t="s">
        <v>8192</v>
      </c>
      <c r="AO523" t="s">
        <v>8193</v>
      </c>
      <c r="AP523" t="s">
        <v>74</v>
      </c>
      <c r="AQ523" t="s">
        <v>74</v>
      </c>
      <c r="AR523" t="s">
        <v>8194</v>
      </c>
      <c r="AS523" t="s">
        <v>8195</v>
      </c>
      <c r="AT523" t="s">
        <v>8038</v>
      </c>
      <c r="AU523">
        <v>2006</v>
      </c>
      <c r="AV523">
        <v>329</v>
      </c>
      <c r="AW523">
        <v>4</v>
      </c>
      <c r="AX523" t="s">
        <v>74</v>
      </c>
      <c r="AY523" t="s">
        <v>74</v>
      </c>
      <c r="AZ523" t="s">
        <v>74</v>
      </c>
      <c r="BA523" t="s">
        <v>74</v>
      </c>
      <c r="BB523">
        <v>277</v>
      </c>
      <c r="BC523">
        <v>288</v>
      </c>
      <c r="BD523" t="s">
        <v>74</v>
      </c>
      <c r="BE523" t="s">
        <v>8196</v>
      </c>
      <c r="BF523" t="str">
        <f>HYPERLINK("http://dx.doi.org/10.1016/j.crvi.2006.01.004","http://dx.doi.org/10.1016/j.crvi.2006.01.004")</f>
        <v>http://dx.doi.org/10.1016/j.crvi.2006.01.004</v>
      </c>
      <c r="BG523" t="s">
        <v>74</v>
      </c>
      <c r="BH523" t="s">
        <v>74</v>
      </c>
      <c r="BI523">
        <v>12</v>
      </c>
      <c r="BJ523" t="s">
        <v>5369</v>
      </c>
      <c r="BK523" t="s">
        <v>97</v>
      </c>
      <c r="BL523" t="s">
        <v>5370</v>
      </c>
      <c r="BM523" t="s">
        <v>8197</v>
      </c>
      <c r="BN523">
        <v>16644500</v>
      </c>
      <c r="BO523" t="s">
        <v>8198</v>
      </c>
      <c r="BP523" t="s">
        <v>74</v>
      </c>
      <c r="BQ523" t="s">
        <v>74</v>
      </c>
      <c r="BR523" t="s">
        <v>100</v>
      </c>
      <c r="BS523" t="s">
        <v>8199</v>
      </c>
      <c r="BT523" t="str">
        <f>HYPERLINK("https%3A%2F%2Fwww.webofscience.com%2Fwos%2Fwoscc%2Ffull-record%2FWOS:000237505700009","View Full Record in Web of Science")</f>
        <v>View Full Record in Web of Science</v>
      </c>
    </row>
    <row r="524" spans="1:72" x14ac:dyDescent="0.15">
      <c r="A524" t="s">
        <v>72</v>
      </c>
      <c r="B524" t="s">
        <v>8200</v>
      </c>
      <c r="C524" t="s">
        <v>74</v>
      </c>
      <c r="D524" t="s">
        <v>74</v>
      </c>
      <c r="E524" t="s">
        <v>74</v>
      </c>
      <c r="F524" t="s">
        <v>8200</v>
      </c>
      <c r="G524" t="s">
        <v>74</v>
      </c>
      <c r="H524" t="s">
        <v>74</v>
      </c>
      <c r="I524" t="s">
        <v>8201</v>
      </c>
      <c r="J524" t="s">
        <v>8202</v>
      </c>
      <c r="K524" t="s">
        <v>74</v>
      </c>
      <c r="L524" t="s">
        <v>74</v>
      </c>
      <c r="M524" t="s">
        <v>78</v>
      </c>
      <c r="N524" t="s">
        <v>79</v>
      </c>
      <c r="O524" t="s">
        <v>74</v>
      </c>
      <c r="P524" t="s">
        <v>74</v>
      </c>
      <c r="Q524" t="s">
        <v>74</v>
      </c>
      <c r="R524" t="s">
        <v>74</v>
      </c>
      <c r="S524" t="s">
        <v>74</v>
      </c>
      <c r="T524" t="s">
        <v>8203</v>
      </c>
      <c r="U524" t="s">
        <v>8204</v>
      </c>
      <c r="V524" t="s">
        <v>8205</v>
      </c>
      <c r="W524" t="s">
        <v>8206</v>
      </c>
      <c r="X524" t="s">
        <v>8207</v>
      </c>
      <c r="Y524" t="s">
        <v>8208</v>
      </c>
      <c r="Z524" t="s">
        <v>8209</v>
      </c>
      <c r="AA524" t="s">
        <v>7591</v>
      </c>
      <c r="AB524" t="s">
        <v>7592</v>
      </c>
      <c r="AC524" t="s">
        <v>74</v>
      </c>
      <c r="AD524" t="s">
        <v>74</v>
      </c>
      <c r="AE524" t="s">
        <v>74</v>
      </c>
      <c r="AF524" t="s">
        <v>74</v>
      </c>
      <c r="AG524">
        <v>26</v>
      </c>
      <c r="AH524">
        <v>9</v>
      </c>
      <c r="AI524">
        <v>11</v>
      </c>
      <c r="AJ524">
        <v>0</v>
      </c>
      <c r="AK524">
        <v>16</v>
      </c>
      <c r="AL524" t="s">
        <v>387</v>
      </c>
      <c r="AM524" t="s">
        <v>388</v>
      </c>
      <c r="AN524" t="s">
        <v>389</v>
      </c>
      <c r="AO524" t="s">
        <v>8210</v>
      </c>
      <c r="AP524" t="s">
        <v>8211</v>
      </c>
      <c r="AQ524" t="s">
        <v>74</v>
      </c>
      <c r="AR524" t="s">
        <v>8212</v>
      </c>
      <c r="AS524" t="s">
        <v>8213</v>
      </c>
      <c r="AT524" t="s">
        <v>8038</v>
      </c>
      <c r="AU524">
        <v>2006</v>
      </c>
      <c r="AV524">
        <v>32</v>
      </c>
      <c r="AW524">
        <v>3</v>
      </c>
      <c r="AX524" t="s">
        <v>74</v>
      </c>
      <c r="AY524" t="s">
        <v>74</v>
      </c>
      <c r="AZ524" t="s">
        <v>74</v>
      </c>
      <c r="BA524" t="s">
        <v>74</v>
      </c>
      <c r="BB524">
        <v>316</v>
      </c>
      <c r="BC524">
        <v>325</v>
      </c>
      <c r="BD524" t="s">
        <v>74</v>
      </c>
      <c r="BE524" t="s">
        <v>8214</v>
      </c>
      <c r="BF524" t="str">
        <f>HYPERLINK("http://dx.doi.org/10.1016/j.cageo.2005.06.020","http://dx.doi.org/10.1016/j.cageo.2005.06.020")</f>
        <v>http://dx.doi.org/10.1016/j.cageo.2005.06.020</v>
      </c>
      <c r="BG524" t="s">
        <v>74</v>
      </c>
      <c r="BH524" t="s">
        <v>74</v>
      </c>
      <c r="BI524">
        <v>10</v>
      </c>
      <c r="BJ524" t="s">
        <v>8215</v>
      </c>
      <c r="BK524" t="s">
        <v>97</v>
      </c>
      <c r="BL524" t="s">
        <v>8216</v>
      </c>
      <c r="BM524" t="s">
        <v>8217</v>
      </c>
      <c r="BN524" t="s">
        <v>74</v>
      </c>
      <c r="BO524" t="s">
        <v>74</v>
      </c>
      <c r="BP524" t="s">
        <v>74</v>
      </c>
      <c r="BQ524" t="s">
        <v>74</v>
      </c>
      <c r="BR524" t="s">
        <v>100</v>
      </c>
      <c r="BS524" t="s">
        <v>8218</v>
      </c>
      <c r="BT524" t="str">
        <f>HYPERLINK("https%3A%2F%2Fwww.webofscience.com%2Fwos%2Fwoscc%2Ffull-record%2FWOS:000235320800003","View Full Record in Web of Science")</f>
        <v>View Full Record in Web of Science</v>
      </c>
    </row>
    <row r="525" spans="1:72" x14ac:dyDescent="0.15">
      <c r="A525" t="s">
        <v>72</v>
      </c>
      <c r="B525" t="s">
        <v>8219</v>
      </c>
      <c r="C525" t="s">
        <v>74</v>
      </c>
      <c r="D525" t="s">
        <v>74</v>
      </c>
      <c r="E525" t="s">
        <v>74</v>
      </c>
      <c r="F525" t="s">
        <v>8219</v>
      </c>
      <c r="G525" t="s">
        <v>74</v>
      </c>
      <c r="H525" t="s">
        <v>74</v>
      </c>
      <c r="I525" t="s">
        <v>8220</v>
      </c>
      <c r="J525" t="s">
        <v>4891</v>
      </c>
      <c r="K525" t="s">
        <v>74</v>
      </c>
      <c r="L525" t="s">
        <v>74</v>
      </c>
      <c r="M525" t="s">
        <v>78</v>
      </c>
      <c r="N525" t="s">
        <v>552</v>
      </c>
      <c r="O525" t="s">
        <v>74</v>
      </c>
      <c r="P525" t="s">
        <v>74</v>
      </c>
      <c r="Q525" t="s">
        <v>74</v>
      </c>
      <c r="R525" t="s">
        <v>74</v>
      </c>
      <c r="S525" t="s">
        <v>74</v>
      </c>
      <c r="T525" t="s">
        <v>74</v>
      </c>
      <c r="U525" t="s">
        <v>8221</v>
      </c>
      <c r="V525" t="s">
        <v>74</v>
      </c>
      <c r="W525" t="s">
        <v>8222</v>
      </c>
      <c r="X525" t="s">
        <v>8223</v>
      </c>
      <c r="Y525" t="s">
        <v>8224</v>
      </c>
      <c r="Z525" t="s">
        <v>8225</v>
      </c>
      <c r="AA525" t="s">
        <v>8226</v>
      </c>
      <c r="AB525" t="s">
        <v>8227</v>
      </c>
      <c r="AC525" t="s">
        <v>74</v>
      </c>
      <c r="AD525" t="s">
        <v>74</v>
      </c>
      <c r="AE525" t="s">
        <v>74</v>
      </c>
      <c r="AF525" t="s">
        <v>74</v>
      </c>
      <c r="AG525">
        <v>22</v>
      </c>
      <c r="AH525">
        <v>32</v>
      </c>
      <c r="AI525">
        <v>38</v>
      </c>
      <c r="AJ525">
        <v>0</v>
      </c>
      <c r="AK525">
        <v>48</v>
      </c>
      <c r="AL525" t="s">
        <v>115</v>
      </c>
      <c r="AM525" t="s">
        <v>116</v>
      </c>
      <c r="AN525" t="s">
        <v>117</v>
      </c>
      <c r="AO525" t="s">
        <v>4896</v>
      </c>
      <c r="AP525" t="s">
        <v>8228</v>
      </c>
      <c r="AQ525" t="s">
        <v>74</v>
      </c>
      <c r="AR525" t="s">
        <v>4897</v>
      </c>
      <c r="AS525" t="s">
        <v>4898</v>
      </c>
      <c r="AT525" t="s">
        <v>8038</v>
      </c>
      <c r="AU525">
        <v>2006</v>
      </c>
      <c r="AV525">
        <v>20</v>
      </c>
      <c r="AW525">
        <v>2</v>
      </c>
      <c r="AX525" t="s">
        <v>74</v>
      </c>
      <c r="AY525" t="s">
        <v>74</v>
      </c>
      <c r="AZ525" t="s">
        <v>74</v>
      </c>
      <c r="BA525" t="s">
        <v>74</v>
      </c>
      <c r="BB525">
        <v>584</v>
      </c>
      <c r="BC525">
        <v>586</v>
      </c>
      <c r="BD525" t="s">
        <v>74</v>
      </c>
      <c r="BE525" t="s">
        <v>8229</v>
      </c>
      <c r="BF525" t="str">
        <f>HYPERLINK("http://dx.doi.org/10.1111/j.1523-1739.2006.00329.x","http://dx.doi.org/10.1111/j.1523-1739.2006.00329.x")</f>
        <v>http://dx.doi.org/10.1111/j.1523-1739.2006.00329.x</v>
      </c>
      <c r="BG525" t="s">
        <v>74</v>
      </c>
      <c r="BH525" t="s">
        <v>74</v>
      </c>
      <c r="BI525">
        <v>3</v>
      </c>
      <c r="BJ525" t="s">
        <v>2637</v>
      </c>
      <c r="BK525" t="s">
        <v>97</v>
      </c>
      <c r="BL525" t="s">
        <v>1526</v>
      </c>
      <c r="BM525" t="s">
        <v>8230</v>
      </c>
      <c r="BN525">
        <v>16903122</v>
      </c>
      <c r="BO525" t="s">
        <v>74</v>
      </c>
      <c r="BP525" t="s">
        <v>74</v>
      </c>
      <c r="BQ525" t="s">
        <v>74</v>
      </c>
      <c r="BR525" t="s">
        <v>100</v>
      </c>
      <c r="BS525" t="s">
        <v>8231</v>
      </c>
      <c r="BT525" t="str">
        <f>HYPERLINK("https%3A%2F%2Fwww.webofscience.com%2Fwos%2Fwoscc%2Ffull-record%2FWOS:000236064200039","View Full Record in Web of Science")</f>
        <v>View Full Record in Web of Science</v>
      </c>
    </row>
    <row r="526" spans="1:72" x14ac:dyDescent="0.15">
      <c r="A526" t="s">
        <v>72</v>
      </c>
      <c r="B526" t="s">
        <v>8232</v>
      </c>
      <c r="C526" t="s">
        <v>74</v>
      </c>
      <c r="D526" t="s">
        <v>74</v>
      </c>
      <c r="E526" t="s">
        <v>74</v>
      </c>
      <c r="F526" t="s">
        <v>8233</v>
      </c>
      <c r="G526" t="s">
        <v>74</v>
      </c>
      <c r="H526" t="s">
        <v>74</v>
      </c>
      <c r="I526" t="s">
        <v>8234</v>
      </c>
      <c r="J526" t="s">
        <v>2699</v>
      </c>
      <c r="K526" t="s">
        <v>74</v>
      </c>
      <c r="L526" t="s">
        <v>74</v>
      </c>
      <c r="M526" t="s">
        <v>78</v>
      </c>
      <c r="N526" t="s">
        <v>79</v>
      </c>
      <c r="O526" t="s">
        <v>74</v>
      </c>
      <c r="P526" t="s">
        <v>74</v>
      </c>
      <c r="Q526" t="s">
        <v>74</v>
      </c>
      <c r="R526" t="s">
        <v>74</v>
      </c>
      <c r="S526" t="s">
        <v>74</v>
      </c>
      <c r="T526" t="s">
        <v>8235</v>
      </c>
      <c r="U526" t="s">
        <v>8236</v>
      </c>
      <c r="V526" t="s">
        <v>8237</v>
      </c>
      <c r="W526" t="s">
        <v>8238</v>
      </c>
      <c r="X526" t="s">
        <v>8239</v>
      </c>
      <c r="Y526" t="s">
        <v>8240</v>
      </c>
      <c r="Z526" t="s">
        <v>8241</v>
      </c>
      <c r="AA526" t="s">
        <v>8242</v>
      </c>
      <c r="AB526" t="s">
        <v>8243</v>
      </c>
      <c r="AC526" t="s">
        <v>74</v>
      </c>
      <c r="AD526" t="s">
        <v>74</v>
      </c>
      <c r="AE526" t="s">
        <v>74</v>
      </c>
      <c r="AF526" t="s">
        <v>74</v>
      </c>
      <c r="AG526">
        <v>29</v>
      </c>
      <c r="AH526">
        <v>34</v>
      </c>
      <c r="AI526">
        <v>35</v>
      </c>
      <c r="AJ526">
        <v>0</v>
      </c>
      <c r="AK526">
        <v>15</v>
      </c>
      <c r="AL526" t="s">
        <v>387</v>
      </c>
      <c r="AM526" t="s">
        <v>388</v>
      </c>
      <c r="AN526" t="s">
        <v>389</v>
      </c>
      <c r="AO526" t="s">
        <v>2707</v>
      </c>
      <c r="AP526" t="s">
        <v>2731</v>
      </c>
      <c r="AQ526" t="s">
        <v>74</v>
      </c>
      <c r="AR526" t="s">
        <v>2708</v>
      </c>
      <c r="AS526" t="s">
        <v>2709</v>
      </c>
      <c r="AT526" t="s">
        <v>8038</v>
      </c>
      <c r="AU526">
        <v>2006</v>
      </c>
      <c r="AV526">
        <v>53</v>
      </c>
      <c r="AW526">
        <v>4</v>
      </c>
      <c r="AX526" t="s">
        <v>74</v>
      </c>
      <c r="AY526" t="s">
        <v>74</v>
      </c>
      <c r="AZ526" t="s">
        <v>74</v>
      </c>
      <c r="BA526" t="s">
        <v>74</v>
      </c>
      <c r="BB526">
        <v>591</v>
      </c>
      <c r="BC526">
        <v>607</v>
      </c>
      <c r="BD526" t="s">
        <v>74</v>
      </c>
      <c r="BE526" t="s">
        <v>8244</v>
      </c>
      <c r="BF526" t="str">
        <f>HYPERLINK("http://dx.doi.org/10.1016/j.dsr.2005.12.012","http://dx.doi.org/10.1016/j.dsr.2005.12.012")</f>
        <v>http://dx.doi.org/10.1016/j.dsr.2005.12.012</v>
      </c>
      <c r="BG526" t="s">
        <v>74</v>
      </c>
      <c r="BH526" t="s">
        <v>74</v>
      </c>
      <c r="BI526">
        <v>17</v>
      </c>
      <c r="BJ526" t="s">
        <v>1069</v>
      </c>
      <c r="BK526" t="s">
        <v>97</v>
      </c>
      <c r="BL526" t="s">
        <v>1069</v>
      </c>
      <c r="BM526" t="s">
        <v>8245</v>
      </c>
      <c r="BN526" t="s">
        <v>74</v>
      </c>
      <c r="BO526" t="s">
        <v>74</v>
      </c>
      <c r="BP526" t="s">
        <v>74</v>
      </c>
      <c r="BQ526" t="s">
        <v>74</v>
      </c>
      <c r="BR526" t="s">
        <v>100</v>
      </c>
      <c r="BS526" t="s">
        <v>8246</v>
      </c>
      <c r="BT526" t="str">
        <f>HYPERLINK("https%3A%2F%2Fwww.webofscience.com%2Fwos%2Fwoscc%2Ffull-record%2FWOS:000238307900004","View Full Record in Web of Science")</f>
        <v>View Full Record in Web of Science</v>
      </c>
    </row>
    <row r="527" spans="1:72" x14ac:dyDescent="0.15">
      <c r="A527" t="s">
        <v>72</v>
      </c>
      <c r="B527" t="s">
        <v>8247</v>
      </c>
      <c r="C527" t="s">
        <v>74</v>
      </c>
      <c r="D527" t="s">
        <v>74</v>
      </c>
      <c r="E527" t="s">
        <v>74</v>
      </c>
      <c r="F527" t="s">
        <v>8248</v>
      </c>
      <c r="G527" t="s">
        <v>74</v>
      </c>
      <c r="H527" t="s">
        <v>74</v>
      </c>
      <c r="I527" t="s">
        <v>8249</v>
      </c>
      <c r="J527" t="s">
        <v>2699</v>
      </c>
      <c r="K527" t="s">
        <v>74</v>
      </c>
      <c r="L527" t="s">
        <v>74</v>
      </c>
      <c r="M527" t="s">
        <v>78</v>
      </c>
      <c r="N527" t="s">
        <v>371</v>
      </c>
      <c r="O527" t="s">
        <v>74</v>
      </c>
      <c r="P527" t="s">
        <v>74</v>
      </c>
      <c r="Q527" t="s">
        <v>74</v>
      </c>
      <c r="R527" t="s">
        <v>74</v>
      </c>
      <c r="S527" t="s">
        <v>74</v>
      </c>
      <c r="T527" t="s">
        <v>74</v>
      </c>
      <c r="U527" t="s">
        <v>74</v>
      </c>
      <c r="V527" t="s">
        <v>74</v>
      </c>
      <c r="W527" t="s">
        <v>74</v>
      </c>
      <c r="X527" t="s">
        <v>74</v>
      </c>
      <c r="Y527" t="s">
        <v>74</v>
      </c>
      <c r="Z527" t="s">
        <v>8250</v>
      </c>
      <c r="AA527" t="s">
        <v>8251</v>
      </c>
      <c r="AB527" t="s">
        <v>74</v>
      </c>
      <c r="AC527" t="s">
        <v>74</v>
      </c>
      <c r="AD527" t="s">
        <v>74</v>
      </c>
      <c r="AE527" t="s">
        <v>74</v>
      </c>
      <c r="AF527" t="s">
        <v>74</v>
      </c>
      <c r="AG527">
        <v>1</v>
      </c>
      <c r="AH527">
        <v>1</v>
      </c>
      <c r="AI527">
        <v>1</v>
      </c>
      <c r="AJ527">
        <v>0</v>
      </c>
      <c r="AK527">
        <v>5</v>
      </c>
      <c r="AL527" t="s">
        <v>387</v>
      </c>
      <c r="AM527" t="s">
        <v>388</v>
      </c>
      <c r="AN527" t="s">
        <v>389</v>
      </c>
      <c r="AO527" t="s">
        <v>2707</v>
      </c>
      <c r="AP527" t="s">
        <v>2731</v>
      </c>
      <c r="AQ527" t="s">
        <v>74</v>
      </c>
      <c r="AR527" t="s">
        <v>2708</v>
      </c>
      <c r="AS527" t="s">
        <v>2709</v>
      </c>
      <c r="AT527" t="s">
        <v>8038</v>
      </c>
      <c r="AU527">
        <v>2006</v>
      </c>
      <c r="AV527">
        <v>53</v>
      </c>
      <c r="AW527">
        <v>4</v>
      </c>
      <c r="AX527" t="s">
        <v>74</v>
      </c>
      <c r="AY527" t="s">
        <v>74</v>
      </c>
      <c r="AZ527" t="s">
        <v>74</v>
      </c>
      <c r="BA527" t="s">
        <v>74</v>
      </c>
      <c r="BB527">
        <v>747</v>
      </c>
      <c r="BC527">
        <v>748</v>
      </c>
      <c r="BD527" t="s">
        <v>74</v>
      </c>
      <c r="BE527" t="s">
        <v>8252</v>
      </c>
      <c r="BF527" t="str">
        <f>HYPERLINK("http://dx.doi.org/10.1016/j.dsr.2005.12.014","http://dx.doi.org/10.1016/j.dsr.2005.12.014")</f>
        <v>http://dx.doi.org/10.1016/j.dsr.2005.12.014</v>
      </c>
      <c r="BG527" t="s">
        <v>74</v>
      </c>
      <c r="BH527" t="s">
        <v>74</v>
      </c>
      <c r="BI527">
        <v>2</v>
      </c>
      <c r="BJ527" t="s">
        <v>1069</v>
      </c>
      <c r="BK527" t="s">
        <v>97</v>
      </c>
      <c r="BL527" t="s">
        <v>1069</v>
      </c>
      <c r="BM527" t="s">
        <v>8245</v>
      </c>
      <c r="BN527" t="s">
        <v>74</v>
      </c>
      <c r="BO527" t="s">
        <v>74</v>
      </c>
      <c r="BP527" t="s">
        <v>74</v>
      </c>
      <c r="BQ527" t="s">
        <v>74</v>
      </c>
      <c r="BR527" t="s">
        <v>100</v>
      </c>
      <c r="BS527" t="s">
        <v>8253</v>
      </c>
      <c r="BT527" t="str">
        <f>HYPERLINK("https%3A%2F%2Fwww.webofscience.com%2Fwos%2Fwoscc%2Ffull-record%2FWOS:000238307900014","View Full Record in Web of Science")</f>
        <v>View Full Record in Web of Science</v>
      </c>
    </row>
    <row r="528" spans="1:72" x14ac:dyDescent="0.15">
      <c r="A528" t="s">
        <v>72</v>
      </c>
      <c r="B528" t="s">
        <v>8254</v>
      </c>
      <c r="C528" t="s">
        <v>74</v>
      </c>
      <c r="D528" t="s">
        <v>74</v>
      </c>
      <c r="E528" t="s">
        <v>74</v>
      </c>
      <c r="F528" t="s">
        <v>8254</v>
      </c>
      <c r="G528" t="s">
        <v>74</v>
      </c>
      <c r="H528" t="s">
        <v>74</v>
      </c>
      <c r="I528" t="s">
        <v>8255</v>
      </c>
      <c r="J528" t="s">
        <v>8256</v>
      </c>
      <c r="K528" t="s">
        <v>74</v>
      </c>
      <c r="L528" t="s">
        <v>74</v>
      </c>
      <c r="M528" t="s">
        <v>78</v>
      </c>
      <c r="N528" t="s">
        <v>79</v>
      </c>
      <c r="O528" t="s">
        <v>74</v>
      </c>
      <c r="P528" t="s">
        <v>74</v>
      </c>
      <c r="Q528" t="s">
        <v>74</v>
      </c>
      <c r="R528" t="s">
        <v>74</v>
      </c>
      <c r="S528" t="s">
        <v>74</v>
      </c>
      <c r="T528" t="s">
        <v>74</v>
      </c>
      <c r="U528" t="s">
        <v>8257</v>
      </c>
      <c r="V528" t="s">
        <v>8258</v>
      </c>
      <c r="W528" t="s">
        <v>2646</v>
      </c>
      <c r="X528" t="s">
        <v>407</v>
      </c>
      <c r="Y528" t="s">
        <v>8259</v>
      </c>
      <c r="Z528" t="s">
        <v>8260</v>
      </c>
      <c r="AA528" t="s">
        <v>8261</v>
      </c>
      <c r="AB528" t="s">
        <v>74</v>
      </c>
      <c r="AC528" t="s">
        <v>74</v>
      </c>
      <c r="AD528" t="s">
        <v>74</v>
      </c>
      <c r="AE528" t="s">
        <v>74</v>
      </c>
      <c r="AF528" t="s">
        <v>74</v>
      </c>
      <c r="AG528">
        <v>63</v>
      </c>
      <c r="AH528">
        <v>29</v>
      </c>
      <c r="AI528">
        <v>32</v>
      </c>
      <c r="AJ528">
        <v>0</v>
      </c>
      <c r="AK528">
        <v>18</v>
      </c>
      <c r="AL528" t="s">
        <v>115</v>
      </c>
      <c r="AM528" t="s">
        <v>116</v>
      </c>
      <c r="AN528" t="s">
        <v>117</v>
      </c>
      <c r="AO528" t="s">
        <v>8262</v>
      </c>
      <c r="AP528" t="s">
        <v>8263</v>
      </c>
      <c r="AQ528" t="s">
        <v>74</v>
      </c>
      <c r="AR528" t="s">
        <v>8256</v>
      </c>
      <c r="AS528" t="s">
        <v>8264</v>
      </c>
      <c r="AT528" t="s">
        <v>8038</v>
      </c>
      <c r="AU528">
        <v>2006</v>
      </c>
      <c r="AV528">
        <v>29</v>
      </c>
      <c r="AW528">
        <v>2</v>
      </c>
      <c r="AX528" t="s">
        <v>74</v>
      </c>
      <c r="AY528" t="s">
        <v>74</v>
      </c>
      <c r="AZ528" t="s">
        <v>74</v>
      </c>
      <c r="BA528" t="s">
        <v>74</v>
      </c>
      <c r="BB528">
        <v>260</v>
      </c>
      <c r="BC528">
        <v>272</v>
      </c>
      <c r="BD528" t="s">
        <v>74</v>
      </c>
      <c r="BE528" t="s">
        <v>74</v>
      </c>
      <c r="BF528" t="s">
        <v>74</v>
      </c>
      <c r="BG528" t="s">
        <v>74</v>
      </c>
      <c r="BH528" t="s">
        <v>74</v>
      </c>
      <c r="BI528">
        <v>13</v>
      </c>
      <c r="BJ528" t="s">
        <v>1525</v>
      </c>
      <c r="BK528" t="s">
        <v>97</v>
      </c>
      <c r="BL528" t="s">
        <v>1526</v>
      </c>
      <c r="BM528" t="s">
        <v>8265</v>
      </c>
      <c r="BN528" t="s">
        <v>74</v>
      </c>
      <c r="BO528" t="s">
        <v>74</v>
      </c>
      <c r="BP528" t="s">
        <v>74</v>
      </c>
      <c r="BQ528" t="s">
        <v>74</v>
      </c>
      <c r="BR528" t="s">
        <v>100</v>
      </c>
      <c r="BS528" t="s">
        <v>8266</v>
      </c>
      <c r="BT528" t="str">
        <f>HYPERLINK("https%3A%2F%2Fwww.webofscience.com%2Fwos%2Fwoscc%2Ffull-record%2FWOS:000236767000013","View Full Record in Web of Science")</f>
        <v>View Full Record in Web of Science</v>
      </c>
    </row>
    <row r="529" spans="1:72" x14ac:dyDescent="0.15">
      <c r="A529" t="s">
        <v>72</v>
      </c>
      <c r="B529" t="s">
        <v>8267</v>
      </c>
      <c r="C529" t="s">
        <v>74</v>
      </c>
      <c r="D529" t="s">
        <v>74</v>
      </c>
      <c r="E529" t="s">
        <v>74</v>
      </c>
      <c r="F529" t="s">
        <v>8267</v>
      </c>
      <c r="G529" t="s">
        <v>74</v>
      </c>
      <c r="H529" t="s">
        <v>74</v>
      </c>
      <c r="I529" t="s">
        <v>8268</v>
      </c>
      <c r="J529" t="s">
        <v>551</v>
      </c>
      <c r="K529" t="s">
        <v>74</v>
      </c>
      <c r="L529" t="s">
        <v>74</v>
      </c>
      <c r="M529" t="s">
        <v>78</v>
      </c>
      <c r="N529" t="s">
        <v>511</v>
      </c>
      <c r="O529" t="s">
        <v>74</v>
      </c>
      <c r="P529" t="s">
        <v>74</v>
      </c>
      <c r="Q529" t="s">
        <v>74</v>
      </c>
      <c r="R529" t="s">
        <v>74</v>
      </c>
      <c r="S529" t="s">
        <v>74</v>
      </c>
      <c r="T529" t="s">
        <v>8269</v>
      </c>
      <c r="U529" t="s">
        <v>8270</v>
      </c>
      <c r="V529" t="s">
        <v>8271</v>
      </c>
      <c r="W529" t="s">
        <v>8272</v>
      </c>
      <c r="X529" t="s">
        <v>6020</v>
      </c>
      <c r="Y529" t="s">
        <v>8273</v>
      </c>
      <c r="Z529" t="s">
        <v>8274</v>
      </c>
      <c r="AA529" t="s">
        <v>8275</v>
      </c>
      <c r="AB529" t="s">
        <v>7717</v>
      </c>
      <c r="AC529" t="s">
        <v>74</v>
      </c>
      <c r="AD529" t="s">
        <v>74</v>
      </c>
      <c r="AE529" t="s">
        <v>74</v>
      </c>
      <c r="AF529" t="s">
        <v>74</v>
      </c>
      <c r="AG529">
        <v>47</v>
      </c>
      <c r="AH529">
        <v>518</v>
      </c>
      <c r="AI529">
        <v>602</v>
      </c>
      <c r="AJ529">
        <v>2</v>
      </c>
      <c r="AK529">
        <v>195</v>
      </c>
      <c r="AL529" t="s">
        <v>115</v>
      </c>
      <c r="AM529" t="s">
        <v>116</v>
      </c>
      <c r="AN529" t="s">
        <v>117</v>
      </c>
      <c r="AO529" t="s">
        <v>559</v>
      </c>
      <c r="AP529" t="s">
        <v>8276</v>
      </c>
      <c r="AQ529" t="s">
        <v>74</v>
      </c>
      <c r="AR529" t="s">
        <v>560</v>
      </c>
      <c r="AS529" t="s">
        <v>561</v>
      </c>
      <c r="AT529" t="s">
        <v>8038</v>
      </c>
      <c r="AU529">
        <v>2006</v>
      </c>
      <c r="AV529">
        <v>7</v>
      </c>
      <c r="AW529">
        <v>4</v>
      </c>
      <c r="AX529" t="s">
        <v>74</v>
      </c>
      <c r="AY529" t="s">
        <v>74</v>
      </c>
      <c r="AZ529" t="s">
        <v>74</v>
      </c>
      <c r="BA529" t="s">
        <v>74</v>
      </c>
      <c r="BB529">
        <v>385</v>
      </c>
      <c r="BC529">
        <v>389</v>
      </c>
      <c r="BD529" t="s">
        <v>74</v>
      </c>
      <c r="BE529" t="s">
        <v>8277</v>
      </c>
      <c r="BF529" t="str">
        <f>HYPERLINK("http://dx.doi.org/10.1038/sj.embor.7400662","http://dx.doi.org/10.1038/sj.embor.7400662")</f>
        <v>http://dx.doi.org/10.1038/sj.embor.7400662</v>
      </c>
      <c r="BG529" t="s">
        <v>74</v>
      </c>
      <c r="BH529" t="s">
        <v>74</v>
      </c>
      <c r="BI529">
        <v>5</v>
      </c>
      <c r="BJ529" t="s">
        <v>563</v>
      </c>
      <c r="BK529" t="s">
        <v>97</v>
      </c>
      <c r="BL529" t="s">
        <v>563</v>
      </c>
      <c r="BM529" t="s">
        <v>8278</v>
      </c>
      <c r="BN529">
        <v>16585939</v>
      </c>
      <c r="BO529" t="s">
        <v>1767</v>
      </c>
      <c r="BP529" t="s">
        <v>74</v>
      </c>
      <c r="BQ529" t="s">
        <v>74</v>
      </c>
      <c r="BR529" t="s">
        <v>100</v>
      </c>
      <c r="BS529" t="s">
        <v>8279</v>
      </c>
      <c r="BT529" t="str">
        <f>HYPERLINK("https%3A%2F%2Fwww.webofscience.com%2Fwos%2Fwoscc%2Ffull-record%2FWOS:000237246100010","View Full Record in Web of Science")</f>
        <v>View Full Record in Web of Science</v>
      </c>
    </row>
    <row r="530" spans="1:72" x14ac:dyDescent="0.15">
      <c r="A530" t="s">
        <v>72</v>
      </c>
      <c r="B530" t="s">
        <v>8280</v>
      </c>
      <c r="C530" t="s">
        <v>74</v>
      </c>
      <c r="D530" t="s">
        <v>74</v>
      </c>
      <c r="E530" t="s">
        <v>74</v>
      </c>
      <c r="F530" t="s">
        <v>8280</v>
      </c>
      <c r="G530" t="s">
        <v>74</v>
      </c>
      <c r="H530" t="s">
        <v>74</v>
      </c>
      <c r="I530" t="s">
        <v>8281</v>
      </c>
      <c r="J530" t="s">
        <v>5026</v>
      </c>
      <c r="K530" t="s">
        <v>74</v>
      </c>
      <c r="L530" t="s">
        <v>74</v>
      </c>
      <c r="M530" t="s">
        <v>78</v>
      </c>
      <c r="N530" t="s">
        <v>1226</v>
      </c>
      <c r="O530" t="s">
        <v>8282</v>
      </c>
      <c r="P530" t="s">
        <v>8283</v>
      </c>
      <c r="Q530" t="s">
        <v>8284</v>
      </c>
      <c r="R530" t="s">
        <v>74</v>
      </c>
      <c r="S530" t="s">
        <v>8285</v>
      </c>
      <c r="T530" t="s">
        <v>8286</v>
      </c>
      <c r="U530" t="s">
        <v>8287</v>
      </c>
      <c r="V530" t="s">
        <v>8288</v>
      </c>
      <c r="W530" t="s">
        <v>8289</v>
      </c>
      <c r="X530" t="s">
        <v>8290</v>
      </c>
      <c r="Y530" t="s">
        <v>74</v>
      </c>
      <c r="Z530" t="s">
        <v>8291</v>
      </c>
      <c r="AA530" t="s">
        <v>8292</v>
      </c>
      <c r="AB530" t="s">
        <v>8293</v>
      </c>
      <c r="AC530" t="s">
        <v>2531</v>
      </c>
      <c r="AD530" t="s">
        <v>413</v>
      </c>
      <c r="AE530" t="s">
        <v>74</v>
      </c>
      <c r="AF530" t="s">
        <v>74</v>
      </c>
      <c r="AG530">
        <v>15</v>
      </c>
      <c r="AH530">
        <v>18</v>
      </c>
      <c r="AI530">
        <v>20</v>
      </c>
      <c r="AJ530">
        <v>0</v>
      </c>
      <c r="AK530">
        <v>2</v>
      </c>
      <c r="AL530" t="s">
        <v>1261</v>
      </c>
      <c r="AM530" t="s">
        <v>520</v>
      </c>
      <c r="AN530" t="s">
        <v>1262</v>
      </c>
      <c r="AO530" t="s">
        <v>5033</v>
      </c>
      <c r="AP530" t="s">
        <v>74</v>
      </c>
      <c r="AQ530" t="s">
        <v>74</v>
      </c>
      <c r="AR530" t="s">
        <v>5035</v>
      </c>
      <c r="AS530" t="s">
        <v>5036</v>
      </c>
      <c r="AT530" t="s">
        <v>8038</v>
      </c>
      <c r="AU530">
        <v>2006</v>
      </c>
      <c r="AV530">
        <v>78</v>
      </c>
      <c r="AW530">
        <v>1</v>
      </c>
      <c r="AX530" t="s">
        <v>74</v>
      </c>
      <c r="AY530" t="s">
        <v>74</v>
      </c>
      <c r="AZ530" t="s">
        <v>74</v>
      </c>
      <c r="BA530" t="s">
        <v>74</v>
      </c>
      <c r="BB530">
        <v>39</v>
      </c>
      <c r="BC530">
        <v>43</v>
      </c>
      <c r="BD530" t="s">
        <v>74</v>
      </c>
      <c r="BE530" t="s">
        <v>8294</v>
      </c>
      <c r="BF530" t="str">
        <f>HYPERLINK("http://dx.doi.org/10.1016/j.fishres.2005.12.009","http://dx.doi.org/10.1016/j.fishres.2005.12.009")</f>
        <v>http://dx.doi.org/10.1016/j.fishres.2005.12.009</v>
      </c>
      <c r="BG530" t="s">
        <v>74</v>
      </c>
      <c r="BH530" t="s">
        <v>74</v>
      </c>
      <c r="BI530">
        <v>5</v>
      </c>
      <c r="BJ530" t="s">
        <v>123</v>
      </c>
      <c r="BK530" t="s">
        <v>655</v>
      </c>
      <c r="BL530" t="s">
        <v>123</v>
      </c>
      <c r="BM530" t="s">
        <v>8295</v>
      </c>
      <c r="BN530" t="s">
        <v>74</v>
      </c>
      <c r="BO530" t="s">
        <v>74</v>
      </c>
      <c r="BP530" t="s">
        <v>74</v>
      </c>
      <c r="BQ530" t="s">
        <v>74</v>
      </c>
      <c r="BR530" t="s">
        <v>100</v>
      </c>
      <c r="BS530" t="s">
        <v>8296</v>
      </c>
      <c r="BT530" t="str">
        <f>HYPERLINK("https%3A%2F%2Fwww.webofscience.com%2Fwos%2Fwoscc%2Ffull-record%2FWOS:000236574600005","View Full Record in Web of Science")</f>
        <v>View Full Record in Web of Science</v>
      </c>
    </row>
    <row r="531" spans="1:72" x14ac:dyDescent="0.15">
      <c r="A531" t="s">
        <v>72</v>
      </c>
      <c r="B531" t="s">
        <v>8297</v>
      </c>
      <c r="C531" t="s">
        <v>74</v>
      </c>
      <c r="D531" t="s">
        <v>74</v>
      </c>
      <c r="E531" t="s">
        <v>74</v>
      </c>
      <c r="F531" t="s">
        <v>8298</v>
      </c>
      <c r="G531" t="s">
        <v>74</v>
      </c>
      <c r="H531" t="s">
        <v>74</v>
      </c>
      <c r="I531" t="s">
        <v>8299</v>
      </c>
      <c r="J531" t="s">
        <v>8300</v>
      </c>
      <c r="K531" t="s">
        <v>74</v>
      </c>
      <c r="L531" t="s">
        <v>74</v>
      </c>
      <c r="M531" t="s">
        <v>78</v>
      </c>
      <c r="N531" t="s">
        <v>79</v>
      </c>
      <c r="O531" t="s">
        <v>74</v>
      </c>
      <c r="P531" t="s">
        <v>74</v>
      </c>
      <c r="Q531" t="s">
        <v>74</v>
      </c>
      <c r="R531" t="s">
        <v>74</v>
      </c>
      <c r="S531" t="s">
        <v>74</v>
      </c>
      <c r="T531" t="s">
        <v>8301</v>
      </c>
      <c r="U531" t="s">
        <v>8302</v>
      </c>
      <c r="V531" t="s">
        <v>8303</v>
      </c>
      <c r="W531" t="s">
        <v>8304</v>
      </c>
      <c r="X531" t="s">
        <v>8305</v>
      </c>
      <c r="Y531" t="s">
        <v>8306</v>
      </c>
      <c r="Z531" t="s">
        <v>8307</v>
      </c>
      <c r="AA531" t="s">
        <v>8308</v>
      </c>
      <c r="AB531" t="s">
        <v>74</v>
      </c>
      <c r="AC531" t="s">
        <v>1518</v>
      </c>
      <c r="AD531" t="s">
        <v>413</v>
      </c>
      <c r="AE531" t="s">
        <v>74</v>
      </c>
      <c r="AF531" t="s">
        <v>74</v>
      </c>
      <c r="AG531">
        <v>54</v>
      </c>
      <c r="AH531">
        <v>34</v>
      </c>
      <c r="AI531">
        <v>45</v>
      </c>
      <c r="AJ531">
        <v>1</v>
      </c>
      <c r="AK531">
        <v>12</v>
      </c>
      <c r="AL531" t="s">
        <v>115</v>
      </c>
      <c r="AM531" t="s">
        <v>116</v>
      </c>
      <c r="AN531" t="s">
        <v>117</v>
      </c>
      <c r="AO531" t="s">
        <v>8309</v>
      </c>
      <c r="AP531" t="s">
        <v>8310</v>
      </c>
      <c r="AQ531" t="s">
        <v>74</v>
      </c>
      <c r="AR531" t="s">
        <v>8311</v>
      </c>
      <c r="AS531" t="s">
        <v>8312</v>
      </c>
      <c r="AT531" t="s">
        <v>8038</v>
      </c>
      <c r="AU531">
        <v>2006</v>
      </c>
      <c r="AV531">
        <v>20</v>
      </c>
      <c r="AW531">
        <v>2</v>
      </c>
      <c r="AX531" t="s">
        <v>74</v>
      </c>
      <c r="AY531" t="s">
        <v>74</v>
      </c>
      <c r="AZ531" t="s">
        <v>74</v>
      </c>
      <c r="BA531" t="s">
        <v>74</v>
      </c>
      <c r="BB531">
        <v>323</v>
      </c>
      <c r="BC531">
        <v>329</v>
      </c>
      <c r="BD531" t="s">
        <v>74</v>
      </c>
      <c r="BE531" t="s">
        <v>8313</v>
      </c>
      <c r="BF531" t="str">
        <f>HYPERLINK("http://dx.doi.org/10.1111/j.1365-2435.2006.01089.x","http://dx.doi.org/10.1111/j.1365-2435.2006.01089.x")</f>
        <v>http://dx.doi.org/10.1111/j.1365-2435.2006.01089.x</v>
      </c>
      <c r="BG531" t="s">
        <v>74</v>
      </c>
      <c r="BH531" t="s">
        <v>74</v>
      </c>
      <c r="BI531">
        <v>7</v>
      </c>
      <c r="BJ531" t="s">
        <v>419</v>
      </c>
      <c r="BK531" t="s">
        <v>97</v>
      </c>
      <c r="BL531" t="s">
        <v>420</v>
      </c>
      <c r="BM531" t="s">
        <v>8314</v>
      </c>
      <c r="BN531" t="s">
        <v>74</v>
      </c>
      <c r="BO531" t="s">
        <v>74</v>
      </c>
      <c r="BP531" t="s">
        <v>74</v>
      </c>
      <c r="BQ531" t="s">
        <v>74</v>
      </c>
      <c r="BR531" t="s">
        <v>100</v>
      </c>
      <c r="BS531" t="s">
        <v>8315</v>
      </c>
      <c r="BT531" t="str">
        <f>HYPERLINK("https%3A%2F%2Fwww.webofscience.com%2Fwos%2Fwoscc%2Ffull-record%2FWOS:000237517400018","View Full Record in Web of Science")</f>
        <v>View Full Record in Web of Science</v>
      </c>
    </row>
    <row r="532" spans="1:72" x14ac:dyDescent="0.15">
      <c r="A532" t="s">
        <v>72</v>
      </c>
      <c r="B532" t="s">
        <v>8316</v>
      </c>
      <c r="C532" t="s">
        <v>74</v>
      </c>
      <c r="D532" t="s">
        <v>74</v>
      </c>
      <c r="E532" t="s">
        <v>74</v>
      </c>
      <c r="F532" t="s">
        <v>8317</v>
      </c>
      <c r="G532" t="s">
        <v>74</v>
      </c>
      <c r="H532" t="s">
        <v>74</v>
      </c>
      <c r="I532" t="s">
        <v>8318</v>
      </c>
      <c r="J532" t="s">
        <v>8300</v>
      </c>
      <c r="K532" t="s">
        <v>74</v>
      </c>
      <c r="L532" t="s">
        <v>74</v>
      </c>
      <c r="M532" t="s">
        <v>78</v>
      </c>
      <c r="N532" t="s">
        <v>552</v>
      </c>
      <c r="O532" t="s">
        <v>74</v>
      </c>
      <c r="P532" t="s">
        <v>74</v>
      </c>
      <c r="Q532" t="s">
        <v>74</v>
      </c>
      <c r="R532" t="s">
        <v>74</v>
      </c>
      <c r="S532" t="s">
        <v>74</v>
      </c>
      <c r="T532" t="s">
        <v>74</v>
      </c>
      <c r="U532" t="s">
        <v>8319</v>
      </c>
      <c r="V532" t="s">
        <v>74</v>
      </c>
      <c r="W532" t="s">
        <v>2646</v>
      </c>
      <c r="X532" t="s">
        <v>407</v>
      </c>
      <c r="Y532" t="s">
        <v>8320</v>
      </c>
      <c r="Z532" t="s">
        <v>8321</v>
      </c>
      <c r="AA532" t="s">
        <v>74</v>
      </c>
      <c r="AB532" t="s">
        <v>74</v>
      </c>
      <c r="AC532" t="s">
        <v>8322</v>
      </c>
      <c r="AD532" t="s">
        <v>1328</v>
      </c>
      <c r="AE532" t="s">
        <v>74</v>
      </c>
      <c r="AF532" t="s">
        <v>74</v>
      </c>
      <c r="AG532">
        <v>53</v>
      </c>
      <c r="AH532">
        <v>168</v>
      </c>
      <c r="AI532">
        <v>193</v>
      </c>
      <c r="AJ532">
        <v>3</v>
      </c>
      <c r="AK532">
        <v>133</v>
      </c>
      <c r="AL532" t="s">
        <v>115</v>
      </c>
      <c r="AM532" t="s">
        <v>116</v>
      </c>
      <c r="AN532" t="s">
        <v>117</v>
      </c>
      <c r="AO532" t="s">
        <v>8309</v>
      </c>
      <c r="AP532" t="s">
        <v>8310</v>
      </c>
      <c r="AQ532" t="s">
        <v>74</v>
      </c>
      <c r="AR532" t="s">
        <v>8311</v>
      </c>
      <c r="AS532" t="s">
        <v>8312</v>
      </c>
      <c r="AT532" t="s">
        <v>8038</v>
      </c>
      <c r="AU532">
        <v>2006</v>
      </c>
      <c r="AV532">
        <v>20</v>
      </c>
      <c r="AW532">
        <v>2</v>
      </c>
      <c r="AX532" t="s">
        <v>74</v>
      </c>
      <c r="AY532" t="s">
        <v>74</v>
      </c>
      <c r="AZ532" t="s">
        <v>74</v>
      </c>
      <c r="BA532" t="s">
        <v>74</v>
      </c>
      <c r="BB532">
        <v>405</v>
      </c>
      <c r="BC532">
        <v>412</v>
      </c>
      <c r="BD532" t="s">
        <v>74</v>
      </c>
      <c r="BE532" t="s">
        <v>8323</v>
      </c>
      <c r="BF532" t="str">
        <f>HYPERLINK("http://dx.doi.org/10.1111/j.1365-2435.2006.01109.x","http://dx.doi.org/10.1111/j.1365-2435.2006.01109.x")</f>
        <v>http://dx.doi.org/10.1111/j.1365-2435.2006.01109.x</v>
      </c>
      <c r="BG532" t="s">
        <v>74</v>
      </c>
      <c r="BH532" t="s">
        <v>74</v>
      </c>
      <c r="BI532">
        <v>8</v>
      </c>
      <c r="BJ532" t="s">
        <v>419</v>
      </c>
      <c r="BK532" t="s">
        <v>97</v>
      </c>
      <c r="BL532" t="s">
        <v>420</v>
      </c>
      <c r="BM532" t="s">
        <v>8314</v>
      </c>
      <c r="BN532" t="s">
        <v>74</v>
      </c>
      <c r="BO532" t="s">
        <v>901</v>
      </c>
      <c r="BP532" t="s">
        <v>74</v>
      </c>
      <c r="BQ532" t="s">
        <v>74</v>
      </c>
      <c r="BR532" t="s">
        <v>100</v>
      </c>
      <c r="BS532" t="s">
        <v>8324</v>
      </c>
      <c r="BT532" t="str">
        <f>HYPERLINK("https%3A%2F%2Fwww.webofscience.com%2Fwos%2Fwoscc%2Ffull-record%2FWOS:000237517400029","View Full Record in Web of Science")</f>
        <v>View Full Record in Web of Science</v>
      </c>
    </row>
    <row r="533" spans="1:72" x14ac:dyDescent="0.15">
      <c r="A533" t="s">
        <v>72</v>
      </c>
      <c r="B533" t="s">
        <v>8325</v>
      </c>
      <c r="C533" t="s">
        <v>74</v>
      </c>
      <c r="D533" t="s">
        <v>74</v>
      </c>
      <c r="E533" t="s">
        <v>74</v>
      </c>
      <c r="F533" t="s">
        <v>8325</v>
      </c>
      <c r="G533" t="s">
        <v>74</v>
      </c>
      <c r="H533" t="s">
        <v>74</v>
      </c>
      <c r="I533" t="s">
        <v>8326</v>
      </c>
      <c r="J533" t="s">
        <v>733</v>
      </c>
      <c r="K533" t="s">
        <v>74</v>
      </c>
      <c r="L533" t="s">
        <v>74</v>
      </c>
      <c r="M533" t="s">
        <v>78</v>
      </c>
      <c r="N533" t="s">
        <v>79</v>
      </c>
      <c r="O533" t="s">
        <v>74</v>
      </c>
      <c r="P533" t="s">
        <v>74</v>
      </c>
      <c r="Q533" t="s">
        <v>74</v>
      </c>
      <c r="R533" t="s">
        <v>74</v>
      </c>
      <c r="S533" t="s">
        <v>74</v>
      </c>
      <c r="T533" t="s">
        <v>8327</v>
      </c>
      <c r="U533" t="s">
        <v>8328</v>
      </c>
      <c r="V533" t="s">
        <v>8329</v>
      </c>
      <c r="W533" t="s">
        <v>8330</v>
      </c>
      <c r="X533" t="s">
        <v>8331</v>
      </c>
      <c r="Y533" t="s">
        <v>8332</v>
      </c>
      <c r="Z533" t="s">
        <v>74</v>
      </c>
      <c r="AA533" t="s">
        <v>8333</v>
      </c>
      <c r="AB533" t="s">
        <v>8334</v>
      </c>
      <c r="AC533" t="s">
        <v>664</v>
      </c>
      <c r="AD533" t="s">
        <v>665</v>
      </c>
      <c r="AE533" t="s">
        <v>74</v>
      </c>
      <c r="AF533" t="s">
        <v>74</v>
      </c>
      <c r="AG533">
        <v>30</v>
      </c>
      <c r="AH533">
        <v>62</v>
      </c>
      <c r="AI533">
        <v>69</v>
      </c>
      <c r="AJ533">
        <v>4</v>
      </c>
      <c r="AK533">
        <v>11</v>
      </c>
      <c r="AL533" t="s">
        <v>742</v>
      </c>
      <c r="AM533" t="s">
        <v>161</v>
      </c>
      <c r="AN533" t="s">
        <v>743</v>
      </c>
      <c r="AO533" t="s">
        <v>744</v>
      </c>
      <c r="AP533" t="s">
        <v>745</v>
      </c>
      <c r="AQ533" t="s">
        <v>74</v>
      </c>
      <c r="AR533" t="s">
        <v>733</v>
      </c>
      <c r="AS533" t="s">
        <v>528</v>
      </c>
      <c r="AT533" t="s">
        <v>8038</v>
      </c>
      <c r="AU533">
        <v>2006</v>
      </c>
      <c r="AV533">
        <v>34</v>
      </c>
      <c r="AW533">
        <v>4</v>
      </c>
      <c r="AX533" t="s">
        <v>74</v>
      </c>
      <c r="AY533" t="s">
        <v>74</v>
      </c>
      <c r="AZ533" t="s">
        <v>74</v>
      </c>
      <c r="BA533" t="s">
        <v>74</v>
      </c>
      <c r="BB533">
        <v>301</v>
      </c>
      <c r="BC533">
        <v>304</v>
      </c>
      <c r="BD533" t="s">
        <v>74</v>
      </c>
      <c r="BE533" t="s">
        <v>8335</v>
      </c>
      <c r="BF533" t="str">
        <f>HYPERLINK("http://dx.doi.org/10.1130/G22000.1","http://dx.doi.org/10.1130/G22000.1")</f>
        <v>http://dx.doi.org/10.1130/G22000.1</v>
      </c>
      <c r="BG533" t="s">
        <v>74</v>
      </c>
      <c r="BH533" t="s">
        <v>74</v>
      </c>
      <c r="BI533">
        <v>4</v>
      </c>
      <c r="BJ533" t="s">
        <v>528</v>
      </c>
      <c r="BK533" t="s">
        <v>97</v>
      </c>
      <c r="BL533" t="s">
        <v>528</v>
      </c>
      <c r="BM533" t="s">
        <v>8336</v>
      </c>
      <c r="BN533" t="s">
        <v>74</v>
      </c>
      <c r="BO533" t="s">
        <v>460</v>
      </c>
      <c r="BP533" t="s">
        <v>74</v>
      </c>
      <c r="BQ533" t="s">
        <v>74</v>
      </c>
      <c r="BR533" t="s">
        <v>100</v>
      </c>
      <c r="BS533" t="s">
        <v>8337</v>
      </c>
      <c r="BT533" t="str">
        <f>HYPERLINK("https%3A%2F%2Fwww.webofscience.com%2Fwos%2Fwoscc%2Ffull-record%2FWOS:000236726900020","View Full Record in Web of Science")</f>
        <v>View Full Record in Web of Science</v>
      </c>
    </row>
    <row r="534" spans="1:72" x14ac:dyDescent="0.15">
      <c r="A534" t="s">
        <v>72</v>
      </c>
      <c r="B534" t="s">
        <v>8338</v>
      </c>
      <c r="C534" t="s">
        <v>74</v>
      </c>
      <c r="D534" t="s">
        <v>74</v>
      </c>
      <c r="E534" t="s">
        <v>74</v>
      </c>
      <c r="F534" t="s">
        <v>8338</v>
      </c>
      <c r="G534" t="s">
        <v>74</v>
      </c>
      <c r="H534" t="s">
        <v>74</v>
      </c>
      <c r="I534" t="s">
        <v>8339</v>
      </c>
      <c r="J534" t="s">
        <v>733</v>
      </c>
      <c r="K534" t="s">
        <v>74</v>
      </c>
      <c r="L534" t="s">
        <v>74</v>
      </c>
      <c r="M534" t="s">
        <v>78</v>
      </c>
      <c r="N534" t="s">
        <v>79</v>
      </c>
      <c r="O534" t="s">
        <v>74</v>
      </c>
      <c r="P534" t="s">
        <v>74</v>
      </c>
      <c r="Q534" t="s">
        <v>74</v>
      </c>
      <c r="R534" t="s">
        <v>74</v>
      </c>
      <c r="S534" t="s">
        <v>74</v>
      </c>
      <c r="T534" t="s">
        <v>8340</v>
      </c>
      <c r="U534" t="s">
        <v>8341</v>
      </c>
      <c r="V534" t="s">
        <v>8342</v>
      </c>
      <c r="W534" t="s">
        <v>8343</v>
      </c>
      <c r="X534" t="s">
        <v>8344</v>
      </c>
      <c r="Y534" t="s">
        <v>6867</v>
      </c>
      <c r="Z534" t="s">
        <v>74</v>
      </c>
      <c r="AA534" t="s">
        <v>74</v>
      </c>
      <c r="AB534" t="s">
        <v>6870</v>
      </c>
      <c r="AC534" t="s">
        <v>8345</v>
      </c>
      <c r="AD534" t="s">
        <v>2873</v>
      </c>
      <c r="AE534" t="s">
        <v>74</v>
      </c>
      <c r="AF534" t="s">
        <v>74</v>
      </c>
      <c r="AG534">
        <v>25</v>
      </c>
      <c r="AH534">
        <v>85</v>
      </c>
      <c r="AI534">
        <v>87</v>
      </c>
      <c r="AJ534">
        <v>0</v>
      </c>
      <c r="AK534">
        <v>16</v>
      </c>
      <c r="AL534" t="s">
        <v>742</v>
      </c>
      <c r="AM534" t="s">
        <v>161</v>
      </c>
      <c r="AN534" t="s">
        <v>743</v>
      </c>
      <c r="AO534" t="s">
        <v>744</v>
      </c>
      <c r="AP534" t="s">
        <v>745</v>
      </c>
      <c r="AQ534" t="s">
        <v>74</v>
      </c>
      <c r="AR534" t="s">
        <v>733</v>
      </c>
      <c r="AS534" t="s">
        <v>528</v>
      </c>
      <c r="AT534" t="s">
        <v>8038</v>
      </c>
      <c r="AU534">
        <v>2006</v>
      </c>
      <c r="AV534">
        <v>34</v>
      </c>
      <c r="AW534">
        <v>4</v>
      </c>
      <c r="AX534" t="s">
        <v>74</v>
      </c>
      <c r="AY534" t="s">
        <v>74</v>
      </c>
      <c r="AZ534" t="s">
        <v>74</v>
      </c>
      <c r="BA534" t="s">
        <v>74</v>
      </c>
      <c r="BB534">
        <v>313</v>
      </c>
      <c r="BC534">
        <v>316</v>
      </c>
      <c r="BD534" t="s">
        <v>74</v>
      </c>
      <c r="BE534" t="s">
        <v>8346</v>
      </c>
      <c r="BF534" t="str">
        <f>HYPERLINK("http://dx.doi.org/10.1130/G22253.1","http://dx.doi.org/10.1130/G22253.1")</f>
        <v>http://dx.doi.org/10.1130/G22253.1</v>
      </c>
      <c r="BG534" t="s">
        <v>74</v>
      </c>
      <c r="BH534" t="s">
        <v>74</v>
      </c>
      <c r="BI534">
        <v>4</v>
      </c>
      <c r="BJ534" t="s">
        <v>528</v>
      </c>
      <c r="BK534" t="s">
        <v>97</v>
      </c>
      <c r="BL534" t="s">
        <v>528</v>
      </c>
      <c r="BM534" t="s">
        <v>8336</v>
      </c>
      <c r="BN534" t="s">
        <v>74</v>
      </c>
      <c r="BO534" t="s">
        <v>74</v>
      </c>
      <c r="BP534" t="s">
        <v>74</v>
      </c>
      <c r="BQ534" t="s">
        <v>74</v>
      </c>
      <c r="BR534" t="s">
        <v>100</v>
      </c>
      <c r="BS534" t="s">
        <v>8347</v>
      </c>
      <c r="BT534" t="str">
        <f>HYPERLINK("https%3A%2F%2Fwww.webofscience.com%2Fwos%2Fwoscc%2Ffull-record%2FWOS:000236726900023","View Full Record in Web of Science")</f>
        <v>View Full Record in Web of Science</v>
      </c>
    </row>
    <row r="535" spans="1:72" x14ac:dyDescent="0.15">
      <c r="A535" t="s">
        <v>72</v>
      </c>
      <c r="B535" t="s">
        <v>8348</v>
      </c>
      <c r="C535" t="s">
        <v>74</v>
      </c>
      <c r="D535" t="s">
        <v>74</v>
      </c>
      <c r="E535" t="s">
        <v>74</v>
      </c>
      <c r="F535" t="s">
        <v>8349</v>
      </c>
      <c r="G535" t="s">
        <v>74</v>
      </c>
      <c r="H535" t="s">
        <v>74</v>
      </c>
      <c r="I535" t="s">
        <v>8350</v>
      </c>
      <c r="J535" t="s">
        <v>8351</v>
      </c>
      <c r="K535" t="s">
        <v>74</v>
      </c>
      <c r="L535" t="s">
        <v>74</v>
      </c>
      <c r="M535" t="s">
        <v>78</v>
      </c>
      <c r="N535" t="s">
        <v>79</v>
      </c>
      <c r="O535" t="s">
        <v>74</v>
      </c>
      <c r="P535" t="s">
        <v>74</v>
      </c>
      <c r="Q535" t="s">
        <v>74</v>
      </c>
      <c r="R535" t="s">
        <v>74</v>
      </c>
      <c r="S535" t="s">
        <v>74</v>
      </c>
      <c r="T535" t="s">
        <v>8352</v>
      </c>
      <c r="U535" t="s">
        <v>8353</v>
      </c>
      <c r="V535" t="s">
        <v>8354</v>
      </c>
      <c r="W535" t="s">
        <v>8355</v>
      </c>
      <c r="X535" t="s">
        <v>8356</v>
      </c>
      <c r="Y535" t="s">
        <v>8357</v>
      </c>
      <c r="Z535" t="s">
        <v>8358</v>
      </c>
      <c r="AA535" t="s">
        <v>8359</v>
      </c>
      <c r="AB535" t="s">
        <v>8360</v>
      </c>
      <c r="AC535" t="s">
        <v>74</v>
      </c>
      <c r="AD535" t="s">
        <v>74</v>
      </c>
      <c r="AE535" t="s">
        <v>74</v>
      </c>
      <c r="AF535" t="s">
        <v>74</v>
      </c>
      <c r="AG535">
        <v>47</v>
      </c>
      <c r="AH535">
        <v>25</v>
      </c>
      <c r="AI535">
        <v>31</v>
      </c>
      <c r="AJ535">
        <v>1</v>
      </c>
      <c r="AK535">
        <v>15</v>
      </c>
      <c r="AL535" t="s">
        <v>3390</v>
      </c>
      <c r="AM535" t="s">
        <v>3391</v>
      </c>
      <c r="AN535" t="s">
        <v>3392</v>
      </c>
      <c r="AO535" t="s">
        <v>8361</v>
      </c>
      <c r="AP535" t="s">
        <v>8362</v>
      </c>
      <c r="AQ535" t="s">
        <v>74</v>
      </c>
      <c r="AR535" t="s">
        <v>8363</v>
      </c>
      <c r="AS535" t="s">
        <v>8364</v>
      </c>
      <c r="AT535" t="s">
        <v>8365</v>
      </c>
      <c r="AU535">
        <v>2006</v>
      </c>
      <c r="AV535">
        <v>23</v>
      </c>
      <c r="AW535" t="s">
        <v>1243</v>
      </c>
      <c r="AX535" t="s">
        <v>74</v>
      </c>
      <c r="AY535" t="s">
        <v>74</v>
      </c>
      <c r="AZ535" t="s">
        <v>74</v>
      </c>
      <c r="BA535" t="s">
        <v>74</v>
      </c>
      <c r="BB535">
        <v>189</v>
      </c>
      <c r="BC535">
        <v>200</v>
      </c>
      <c r="BD535" t="s">
        <v>74</v>
      </c>
      <c r="BE535" t="s">
        <v>8366</v>
      </c>
      <c r="BF535" t="str">
        <f>HYPERLINK("http://dx.doi.org/10.1080/01490450600724274","http://dx.doi.org/10.1080/01490450600724274")</f>
        <v>http://dx.doi.org/10.1080/01490450600724274</v>
      </c>
      <c r="BG535" t="s">
        <v>74</v>
      </c>
      <c r="BH535" t="s">
        <v>74</v>
      </c>
      <c r="BI535">
        <v>12</v>
      </c>
      <c r="BJ535" t="s">
        <v>8367</v>
      </c>
      <c r="BK535" t="s">
        <v>97</v>
      </c>
      <c r="BL535" t="s">
        <v>8368</v>
      </c>
      <c r="BM535" t="s">
        <v>8369</v>
      </c>
      <c r="BN535" t="s">
        <v>74</v>
      </c>
      <c r="BO535" t="s">
        <v>74</v>
      </c>
      <c r="BP535" t="s">
        <v>74</v>
      </c>
      <c r="BQ535" t="s">
        <v>74</v>
      </c>
      <c r="BR535" t="s">
        <v>100</v>
      </c>
      <c r="BS535" t="s">
        <v>8370</v>
      </c>
      <c r="BT535" t="str">
        <f>HYPERLINK("https%3A%2F%2Fwww.webofscience.com%2Fwos%2Fwoscc%2Ffull-record%2FWOS:000240340300006","View Full Record in Web of Science")</f>
        <v>View Full Record in Web of Science</v>
      </c>
    </row>
    <row r="536" spans="1:72" x14ac:dyDescent="0.15">
      <c r="A536" t="s">
        <v>72</v>
      </c>
      <c r="B536" t="s">
        <v>8371</v>
      </c>
      <c r="C536" t="s">
        <v>74</v>
      </c>
      <c r="D536" t="s">
        <v>74</v>
      </c>
      <c r="E536" t="s">
        <v>74</v>
      </c>
      <c r="F536" t="s">
        <v>8371</v>
      </c>
      <c r="G536" t="s">
        <v>74</v>
      </c>
      <c r="H536" t="s">
        <v>74</v>
      </c>
      <c r="I536" t="s">
        <v>8372</v>
      </c>
      <c r="J536" t="s">
        <v>8373</v>
      </c>
      <c r="K536" t="s">
        <v>74</v>
      </c>
      <c r="L536" t="s">
        <v>74</v>
      </c>
      <c r="M536" t="s">
        <v>78</v>
      </c>
      <c r="N536" t="s">
        <v>1226</v>
      </c>
      <c r="O536" t="s">
        <v>8374</v>
      </c>
      <c r="P536" t="s">
        <v>8375</v>
      </c>
      <c r="Q536" t="s">
        <v>8376</v>
      </c>
      <c r="R536" t="s">
        <v>74</v>
      </c>
      <c r="S536" t="s">
        <v>8377</v>
      </c>
      <c r="T536" t="s">
        <v>8378</v>
      </c>
      <c r="U536" t="s">
        <v>8379</v>
      </c>
      <c r="V536" t="s">
        <v>8380</v>
      </c>
      <c r="W536" t="s">
        <v>8381</v>
      </c>
      <c r="X536" t="s">
        <v>8382</v>
      </c>
      <c r="Y536" t="s">
        <v>8383</v>
      </c>
      <c r="Z536" t="s">
        <v>8384</v>
      </c>
      <c r="AA536" t="s">
        <v>8385</v>
      </c>
      <c r="AB536" t="s">
        <v>74</v>
      </c>
      <c r="AC536" t="s">
        <v>74</v>
      </c>
      <c r="AD536" t="s">
        <v>74</v>
      </c>
      <c r="AE536" t="s">
        <v>74</v>
      </c>
      <c r="AF536" t="s">
        <v>74</v>
      </c>
      <c r="AG536">
        <v>72</v>
      </c>
      <c r="AH536">
        <v>61</v>
      </c>
      <c r="AI536">
        <v>68</v>
      </c>
      <c r="AJ536">
        <v>0</v>
      </c>
      <c r="AK536">
        <v>23</v>
      </c>
      <c r="AL536" t="s">
        <v>1261</v>
      </c>
      <c r="AM536" t="s">
        <v>520</v>
      </c>
      <c r="AN536" t="s">
        <v>1262</v>
      </c>
      <c r="AO536" t="s">
        <v>8386</v>
      </c>
      <c r="AP536" t="s">
        <v>8387</v>
      </c>
      <c r="AQ536" t="s">
        <v>74</v>
      </c>
      <c r="AR536" t="s">
        <v>8373</v>
      </c>
      <c r="AS536" t="s">
        <v>8388</v>
      </c>
      <c r="AT536" t="s">
        <v>8038</v>
      </c>
      <c r="AU536">
        <v>2006</v>
      </c>
      <c r="AV536">
        <v>75</v>
      </c>
      <c r="AW536" t="s">
        <v>765</v>
      </c>
      <c r="AX536" t="s">
        <v>74</v>
      </c>
      <c r="AY536" t="s">
        <v>74</v>
      </c>
      <c r="AZ536" t="s">
        <v>5755</v>
      </c>
      <c r="BA536" t="s">
        <v>74</v>
      </c>
      <c r="BB536">
        <v>76</v>
      </c>
      <c r="BC536">
        <v>89</v>
      </c>
      <c r="BD536" t="s">
        <v>74</v>
      </c>
      <c r="BE536" t="s">
        <v>8389</v>
      </c>
      <c r="BF536" t="str">
        <f>HYPERLINK("http://dx.doi.org/10.1016/j.geomorph.2004.01.011","http://dx.doi.org/10.1016/j.geomorph.2004.01.011")</f>
        <v>http://dx.doi.org/10.1016/j.geomorph.2004.01.011</v>
      </c>
      <c r="BG536" t="s">
        <v>74</v>
      </c>
      <c r="BH536" t="s">
        <v>74</v>
      </c>
      <c r="BI536">
        <v>14</v>
      </c>
      <c r="BJ536" t="s">
        <v>2893</v>
      </c>
      <c r="BK536" t="s">
        <v>668</v>
      </c>
      <c r="BL536" t="s">
        <v>2894</v>
      </c>
      <c r="BM536" t="s">
        <v>8390</v>
      </c>
      <c r="BN536" t="s">
        <v>74</v>
      </c>
      <c r="BO536" t="s">
        <v>74</v>
      </c>
      <c r="BP536" t="s">
        <v>74</v>
      </c>
      <c r="BQ536" t="s">
        <v>74</v>
      </c>
      <c r="BR536" t="s">
        <v>100</v>
      </c>
      <c r="BS536" t="s">
        <v>8391</v>
      </c>
      <c r="BT536" t="str">
        <f>HYPERLINK("https%3A%2F%2Fwww.webofscience.com%2Fwos%2Fwoscc%2Ffull-record%2FWOS:000237166500006","View Full Record in Web of Science")</f>
        <v>View Full Record in Web of Science</v>
      </c>
    </row>
    <row r="537" spans="1:72" x14ac:dyDescent="0.15">
      <c r="A537" t="s">
        <v>72</v>
      </c>
      <c r="B537" t="s">
        <v>8392</v>
      </c>
      <c r="C537" t="s">
        <v>74</v>
      </c>
      <c r="D537" t="s">
        <v>74</v>
      </c>
      <c r="E537" t="s">
        <v>74</v>
      </c>
      <c r="F537" t="s">
        <v>8392</v>
      </c>
      <c r="G537" t="s">
        <v>74</v>
      </c>
      <c r="H537" t="s">
        <v>74</v>
      </c>
      <c r="I537" t="s">
        <v>8393</v>
      </c>
      <c r="J537" t="s">
        <v>8373</v>
      </c>
      <c r="K537" t="s">
        <v>74</v>
      </c>
      <c r="L537" t="s">
        <v>74</v>
      </c>
      <c r="M537" t="s">
        <v>78</v>
      </c>
      <c r="N537" t="s">
        <v>1226</v>
      </c>
      <c r="O537" t="s">
        <v>8374</v>
      </c>
      <c r="P537" t="s">
        <v>8375</v>
      </c>
      <c r="Q537" t="s">
        <v>8376</v>
      </c>
      <c r="R537" t="s">
        <v>74</v>
      </c>
      <c r="S537" t="s">
        <v>8377</v>
      </c>
      <c r="T537" t="s">
        <v>8394</v>
      </c>
      <c r="U537" t="s">
        <v>8395</v>
      </c>
      <c r="V537" t="s">
        <v>8396</v>
      </c>
      <c r="W537" t="s">
        <v>8397</v>
      </c>
      <c r="X537" t="s">
        <v>8398</v>
      </c>
      <c r="Y537" t="s">
        <v>8399</v>
      </c>
      <c r="Z537" t="s">
        <v>8400</v>
      </c>
      <c r="AA537" t="s">
        <v>8401</v>
      </c>
      <c r="AB537" t="s">
        <v>8402</v>
      </c>
      <c r="AC537" t="s">
        <v>74</v>
      </c>
      <c r="AD537" t="s">
        <v>74</v>
      </c>
      <c r="AE537" t="s">
        <v>74</v>
      </c>
      <c r="AF537" t="s">
        <v>74</v>
      </c>
      <c r="AG537">
        <v>59</v>
      </c>
      <c r="AH537">
        <v>89</v>
      </c>
      <c r="AI537">
        <v>101</v>
      </c>
      <c r="AJ537">
        <v>1</v>
      </c>
      <c r="AK537">
        <v>24</v>
      </c>
      <c r="AL537" t="s">
        <v>519</v>
      </c>
      <c r="AM537" t="s">
        <v>520</v>
      </c>
      <c r="AN537" t="s">
        <v>521</v>
      </c>
      <c r="AO537" t="s">
        <v>8386</v>
      </c>
      <c r="AP537" t="s">
        <v>8387</v>
      </c>
      <c r="AQ537" t="s">
        <v>74</v>
      </c>
      <c r="AR537" t="s">
        <v>8373</v>
      </c>
      <c r="AS537" t="s">
        <v>8388</v>
      </c>
      <c r="AT537" t="s">
        <v>8038</v>
      </c>
      <c r="AU537">
        <v>2006</v>
      </c>
      <c r="AV537">
        <v>75</v>
      </c>
      <c r="AW537" t="s">
        <v>765</v>
      </c>
      <c r="AX537" t="s">
        <v>74</v>
      </c>
      <c r="AY537" t="s">
        <v>74</v>
      </c>
      <c r="AZ537" t="s">
        <v>5755</v>
      </c>
      <c r="BA537" t="s">
        <v>74</v>
      </c>
      <c r="BB537">
        <v>125</v>
      </c>
      <c r="BC537">
        <v>142</v>
      </c>
      <c r="BD537" t="s">
        <v>74</v>
      </c>
      <c r="BE537" t="s">
        <v>8403</v>
      </c>
      <c r="BF537" t="str">
        <f>HYPERLINK("http://dx.doi.org/10.1016/j.geomorph.2004.06.013","http://dx.doi.org/10.1016/j.geomorph.2004.06.013")</f>
        <v>http://dx.doi.org/10.1016/j.geomorph.2004.06.013</v>
      </c>
      <c r="BG537" t="s">
        <v>74</v>
      </c>
      <c r="BH537" t="s">
        <v>74</v>
      </c>
      <c r="BI537">
        <v>18</v>
      </c>
      <c r="BJ537" t="s">
        <v>2893</v>
      </c>
      <c r="BK537" t="s">
        <v>668</v>
      </c>
      <c r="BL537" t="s">
        <v>2894</v>
      </c>
      <c r="BM537" t="s">
        <v>8390</v>
      </c>
      <c r="BN537" t="s">
        <v>74</v>
      </c>
      <c r="BO537" t="s">
        <v>74</v>
      </c>
      <c r="BP537" t="s">
        <v>74</v>
      </c>
      <c r="BQ537" t="s">
        <v>74</v>
      </c>
      <c r="BR537" t="s">
        <v>100</v>
      </c>
      <c r="BS537" t="s">
        <v>8404</v>
      </c>
      <c r="BT537" t="str">
        <f>HYPERLINK("https%3A%2F%2Fwww.webofscience.com%2Fwos%2Fwoscc%2Ffull-record%2FWOS:000237166500009","View Full Record in Web of Science")</f>
        <v>View Full Record in Web of Science</v>
      </c>
    </row>
    <row r="538" spans="1:72" x14ac:dyDescent="0.15">
      <c r="A538" t="s">
        <v>72</v>
      </c>
      <c r="B538" t="s">
        <v>8405</v>
      </c>
      <c r="C538" t="s">
        <v>74</v>
      </c>
      <c r="D538" t="s">
        <v>74</v>
      </c>
      <c r="E538" t="s">
        <v>74</v>
      </c>
      <c r="F538" t="s">
        <v>8405</v>
      </c>
      <c r="G538" t="s">
        <v>74</v>
      </c>
      <c r="H538" t="s">
        <v>74</v>
      </c>
      <c r="I538" t="s">
        <v>8406</v>
      </c>
      <c r="J538" t="s">
        <v>8373</v>
      </c>
      <c r="K538" t="s">
        <v>74</v>
      </c>
      <c r="L538" t="s">
        <v>74</v>
      </c>
      <c r="M538" t="s">
        <v>78</v>
      </c>
      <c r="N538" t="s">
        <v>1226</v>
      </c>
      <c r="O538" t="s">
        <v>8374</v>
      </c>
      <c r="P538" t="s">
        <v>8375</v>
      </c>
      <c r="Q538" t="s">
        <v>8376</v>
      </c>
      <c r="R538" t="s">
        <v>74</v>
      </c>
      <c r="S538" t="s">
        <v>8377</v>
      </c>
      <c r="T538" t="s">
        <v>8407</v>
      </c>
      <c r="U538" t="s">
        <v>8408</v>
      </c>
      <c r="V538" t="s">
        <v>8409</v>
      </c>
      <c r="W538" t="s">
        <v>8410</v>
      </c>
      <c r="X538" t="s">
        <v>8411</v>
      </c>
      <c r="Y538" t="s">
        <v>8412</v>
      </c>
      <c r="Z538" t="s">
        <v>8413</v>
      </c>
      <c r="AA538" t="s">
        <v>74</v>
      </c>
      <c r="AB538" t="s">
        <v>74</v>
      </c>
      <c r="AC538" t="s">
        <v>74</v>
      </c>
      <c r="AD538" t="s">
        <v>74</v>
      </c>
      <c r="AE538" t="s">
        <v>74</v>
      </c>
      <c r="AF538" t="s">
        <v>74</v>
      </c>
      <c r="AG538">
        <v>16</v>
      </c>
      <c r="AH538">
        <v>15</v>
      </c>
      <c r="AI538">
        <v>17</v>
      </c>
      <c r="AJ538">
        <v>0</v>
      </c>
      <c r="AK538">
        <v>10</v>
      </c>
      <c r="AL538" t="s">
        <v>1261</v>
      </c>
      <c r="AM538" t="s">
        <v>520</v>
      </c>
      <c r="AN538" t="s">
        <v>1262</v>
      </c>
      <c r="AO538" t="s">
        <v>8386</v>
      </c>
      <c r="AP538" t="s">
        <v>8387</v>
      </c>
      <c r="AQ538" t="s">
        <v>74</v>
      </c>
      <c r="AR538" t="s">
        <v>8373</v>
      </c>
      <c r="AS538" t="s">
        <v>8388</v>
      </c>
      <c r="AT538" t="s">
        <v>8038</v>
      </c>
      <c r="AU538">
        <v>2006</v>
      </c>
      <c r="AV538">
        <v>75</v>
      </c>
      <c r="AW538" t="s">
        <v>765</v>
      </c>
      <c r="AX538" t="s">
        <v>74</v>
      </c>
      <c r="AY538" t="s">
        <v>74</v>
      </c>
      <c r="AZ538" t="s">
        <v>5755</v>
      </c>
      <c r="BA538" t="s">
        <v>74</v>
      </c>
      <c r="BB538">
        <v>143</v>
      </c>
      <c r="BC538">
        <v>156</v>
      </c>
      <c r="BD538" t="s">
        <v>74</v>
      </c>
      <c r="BE538" t="s">
        <v>8414</v>
      </c>
      <c r="BF538" t="str">
        <f>HYPERLINK("http://dx.doi.org/10.1016/j.geomorph.2004.11.025","http://dx.doi.org/10.1016/j.geomorph.2004.11.025")</f>
        <v>http://dx.doi.org/10.1016/j.geomorph.2004.11.025</v>
      </c>
      <c r="BG538" t="s">
        <v>74</v>
      </c>
      <c r="BH538" t="s">
        <v>74</v>
      </c>
      <c r="BI538">
        <v>14</v>
      </c>
      <c r="BJ538" t="s">
        <v>2893</v>
      </c>
      <c r="BK538" t="s">
        <v>668</v>
      </c>
      <c r="BL538" t="s">
        <v>2894</v>
      </c>
      <c r="BM538" t="s">
        <v>8390</v>
      </c>
      <c r="BN538" t="s">
        <v>74</v>
      </c>
      <c r="BO538" t="s">
        <v>74</v>
      </c>
      <c r="BP538" t="s">
        <v>74</v>
      </c>
      <c r="BQ538" t="s">
        <v>74</v>
      </c>
      <c r="BR538" t="s">
        <v>100</v>
      </c>
      <c r="BS538" t="s">
        <v>8415</v>
      </c>
      <c r="BT538" t="str">
        <f>HYPERLINK("https%3A%2F%2Fwww.webofscience.com%2Fwos%2Fwoscc%2Ffull-record%2FWOS:000237166500010","View Full Record in Web of Science")</f>
        <v>View Full Record in Web of Science</v>
      </c>
    </row>
    <row r="539" spans="1:72" x14ac:dyDescent="0.15">
      <c r="A539" t="s">
        <v>72</v>
      </c>
      <c r="B539" t="s">
        <v>8416</v>
      </c>
      <c r="C539" t="s">
        <v>74</v>
      </c>
      <c r="D539" t="s">
        <v>74</v>
      </c>
      <c r="E539" t="s">
        <v>74</v>
      </c>
      <c r="F539" t="s">
        <v>8416</v>
      </c>
      <c r="G539" t="s">
        <v>74</v>
      </c>
      <c r="H539" t="s">
        <v>74</v>
      </c>
      <c r="I539" t="s">
        <v>8417</v>
      </c>
      <c r="J539" t="s">
        <v>8373</v>
      </c>
      <c r="K539" t="s">
        <v>74</v>
      </c>
      <c r="L539" t="s">
        <v>74</v>
      </c>
      <c r="M539" t="s">
        <v>78</v>
      </c>
      <c r="N539" t="s">
        <v>1226</v>
      </c>
      <c r="O539" t="s">
        <v>8374</v>
      </c>
      <c r="P539" t="s">
        <v>8375</v>
      </c>
      <c r="Q539" t="s">
        <v>8376</v>
      </c>
      <c r="R539" t="s">
        <v>74</v>
      </c>
      <c r="S539" t="s">
        <v>8377</v>
      </c>
      <c r="T539" t="s">
        <v>8418</v>
      </c>
      <c r="U539" t="s">
        <v>8419</v>
      </c>
      <c r="V539" t="s">
        <v>8420</v>
      </c>
      <c r="W539" t="s">
        <v>8421</v>
      </c>
      <c r="X539" t="s">
        <v>8422</v>
      </c>
      <c r="Y539" t="s">
        <v>8423</v>
      </c>
      <c r="Z539" t="s">
        <v>8424</v>
      </c>
      <c r="AA539" t="s">
        <v>8425</v>
      </c>
      <c r="AB539" t="s">
        <v>74</v>
      </c>
      <c r="AC539" t="s">
        <v>74</v>
      </c>
      <c r="AD539" t="s">
        <v>74</v>
      </c>
      <c r="AE539" t="s">
        <v>74</v>
      </c>
      <c r="AF539" t="s">
        <v>74</v>
      </c>
      <c r="AG539">
        <v>40</v>
      </c>
      <c r="AH539">
        <v>128</v>
      </c>
      <c r="AI539">
        <v>144</v>
      </c>
      <c r="AJ539">
        <v>0</v>
      </c>
      <c r="AK539">
        <v>17</v>
      </c>
      <c r="AL539" t="s">
        <v>519</v>
      </c>
      <c r="AM539" t="s">
        <v>520</v>
      </c>
      <c r="AN539" t="s">
        <v>521</v>
      </c>
      <c r="AO539" t="s">
        <v>8386</v>
      </c>
      <c r="AP539" t="s">
        <v>8387</v>
      </c>
      <c r="AQ539" t="s">
        <v>74</v>
      </c>
      <c r="AR539" t="s">
        <v>8373</v>
      </c>
      <c r="AS539" t="s">
        <v>8388</v>
      </c>
      <c r="AT539" t="s">
        <v>8038</v>
      </c>
      <c r="AU539">
        <v>2006</v>
      </c>
      <c r="AV539">
        <v>75</v>
      </c>
      <c r="AW539" t="s">
        <v>765</v>
      </c>
      <c r="AX539" t="s">
        <v>74</v>
      </c>
      <c r="AY539" t="s">
        <v>74</v>
      </c>
      <c r="AZ539" t="s">
        <v>5755</v>
      </c>
      <c r="BA539" t="s">
        <v>74</v>
      </c>
      <c r="BB539">
        <v>157</v>
      </c>
      <c r="BC539">
        <v>171</v>
      </c>
      <c r="BD539" t="s">
        <v>74</v>
      </c>
      <c r="BE539" t="s">
        <v>8426</v>
      </c>
      <c r="BF539" t="str">
        <f>HYPERLINK("http://dx.doi.org/10.1016/j.geomorph.2005.05.015","http://dx.doi.org/10.1016/j.geomorph.2005.05.015")</f>
        <v>http://dx.doi.org/10.1016/j.geomorph.2005.05.015</v>
      </c>
      <c r="BG539" t="s">
        <v>74</v>
      </c>
      <c r="BH539" t="s">
        <v>74</v>
      </c>
      <c r="BI539">
        <v>15</v>
      </c>
      <c r="BJ539" t="s">
        <v>2893</v>
      </c>
      <c r="BK539" t="s">
        <v>668</v>
      </c>
      <c r="BL539" t="s">
        <v>2894</v>
      </c>
      <c r="BM539" t="s">
        <v>8390</v>
      </c>
      <c r="BN539" t="s">
        <v>74</v>
      </c>
      <c r="BO539" t="s">
        <v>74</v>
      </c>
      <c r="BP539" t="s">
        <v>74</v>
      </c>
      <c r="BQ539" t="s">
        <v>74</v>
      </c>
      <c r="BR539" t="s">
        <v>100</v>
      </c>
      <c r="BS539" t="s">
        <v>8427</v>
      </c>
      <c r="BT539" t="str">
        <f>HYPERLINK("https%3A%2F%2Fwww.webofscience.com%2Fwos%2Fwoscc%2Ffull-record%2FWOS:000237166500011","View Full Record in Web of Science")</f>
        <v>View Full Record in Web of Science</v>
      </c>
    </row>
    <row r="540" spans="1:72" x14ac:dyDescent="0.15">
      <c r="A540" t="s">
        <v>72</v>
      </c>
      <c r="B540" t="s">
        <v>8428</v>
      </c>
      <c r="C540" t="s">
        <v>74</v>
      </c>
      <c r="D540" t="s">
        <v>74</v>
      </c>
      <c r="E540" t="s">
        <v>74</v>
      </c>
      <c r="F540" t="s">
        <v>8429</v>
      </c>
      <c r="G540" t="s">
        <v>74</v>
      </c>
      <c r="H540" t="s">
        <v>74</v>
      </c>
      <c r="I540" t="s">
        <v>8430</v>
      </c>
      <c r="J540" t="s">
        <v>5128</v>
      </c>
      <c r="K540" t="s">
        <v>74</v>
      </c>
      <c r="L540" t="s">
        <v>74</v>
      </c>
      <c r="M540" t="s">
        <v>78</v>
      </c>
      <c r="N540" t="s">
        <v>79</v>
      </c>
      <c r="O540" t="s">
        <v>74</v>
      </c>
      <c r="P540" t="s">
        <v>74</v>
      </c>
      <c r="Q540" t="s">
        <v>74</v>
      </c>
      <c r="R540" t="s">
        <v>74</v>
      </c>
      <c r="S540" t="s">
        <v>74</v>
      </c>
      <c r="T540" t="s">
        <v>8431</v>
      </c>
      <c r="U540" t="s">
        <v>8432</v>
      </c>
      <c r="V540" t="s">
        <v>8433</v>
      </c>
      <c r="W540" t="s">
        <v>8434</v>
      </c>
      <c r="X540" t="s">
        <v>8435</v>
      </c>
      <c r="Y540" t="s">
        <v>8436</v>
      </c>
      <c r="Z540" t="s">
        <v>8437</v>
      </c>
      <c r="AA540" t="s">
        <v>8438</v>
      </c>
      <c r="AB540" t="s">
        <v>8439</v>
      </c>
      <c r="AC540" t="s">
        <v>74</v>
      </c>
      <c r="AD540" t="s">
        <v>74</v>
      </c>
      <c r="AE540" t="s">
        <v>74</v>
      </c>
      <c r="AF540" t="s">
        <v>74</v>
      </c>
      <c r="AG540">
        <v>45</v>
      </c>
      <c r="AH540">
        <v>9</v>
      </c>
      <c r="AI540">
        <v>9</v>
      </c>
      <c r="AJ540">
        <v>0</v>
      </c>
      <c r="AK540">
        <v>5</v>
      </c>
      <c r="AL540" t="s">
        <v>840</v>
      </c>
      <c r="AM540" t="s">
        <v>388</v>
      </c>
      <c r="AN540" t="s">
        <v>841</v>
      </c>
      <c r="AO540" t="s">
        <v>5138</v>
      </c>
      <c r="AP540" t="s">
        <v>74</v>
      </c>
      <c r="AQ540" t="s">
        <v>74</v>
      </c>
      <c r="AR540" t="s">
        <v>5140</v>
      </c>
      <c r="AS540" t="s">
        <v>5141</v>
      </c>
      <c r="AT540" t="s">
        <v>8038</v>
      </c>
      <c r="AU540">
        <v>2006</v>
      </c>
      <c r="AV540">
        <v>165</v>
      </c>
      <c r="AW540">
        <v>1</v>
      </c>
      <c r="AX540" t="s">
        <v>74</v>
      </c>
      <c r="AY540" t="s">
        <v>74</v>
      </c>
      <c r="AZ540" t="s">
        <v>74</v>
      </c>
      <c r="BA540" t="s">
        <v>74</v>
      </c>
      <c r="BB540">
        <v>73</v>
      </c>
      <c r="BC540">
        <v>86</v>
      </c>
      <c r="BD540" t="s">
        <v>74</v>
      </c>
      <c r="BE540" t="s">
        <v>8440</v>
      </c>
      <c r="BF540" t="str">
        <f>HYPERLINK("http://dx.doi.org/10.1111/j.1365-246X.2006.02877.x","http://dx.doi.org/10.1111/j.1365-246X.2006.02877.x")</f>
        <v>http://dx.doi.org/10.1111/j.1365-246X.2006.02877.x</v>
      </c>
      <c r="BG540" t="s">
        <v>74</v>
      </c>
      <c r="BH540" t="s">
        <v>74</v>
      </c>
      <c r="BI540">
        <v>14</v>
      </c>
      <c r="BJ540" t="s">
        <v>608</v>
      </c>
      <c r="BK540" t="s">
        <v>97</v>
      </c>
      <c r="BL540" t="s">
        <v>608</v>
      </c>
      <c r="BM540" t="s">
        <v>8441</v>
      </c>
      <c r="BN540" t="s">
        <v>74</v>
      </c>
      <c r="BO540" t="s">
        <v>2100</v>
      </c>
      <c r="BP540" t="s">
        <v>74</v>
      </c>
      <c r="BQ540" t="s">
        <v>74</v>
      </c>
      <c r="BR540" t="s">
        <v>100</v>
      </c>
      <c r="BS540" t="s">
        <v>8442</v>
      </c>
      <c r="BT540" t="str">
        <f>HYPERLINK("https%3A%2F%2Fwww.webofscience.com%2Fwos%2Fwoscc%2Ffull-record%2FWOS:000239689500008","View Full Record in Web of Science")</f>
        <v>View Full Record in Web of Science</v>
      </c>
    </row>
    <row r="541" spans="1:72" x14ac:dyDescent="0.15">
      <c r="A541" t="s">
        <v>72</v>
      </c>
      <c r="B541" t="s">
        <v>8443</v>
      </c>
      <c r="C541" t="s">
        <v>74</v>
      </c>
      <c r="D541" t="s">
        <v>74</v>
      </c>
      <c r="E541" t="s">
        <v>74</v>
      </c>
      <c r="F541" t="s">
        <v>8444</v>
      </c>
      <c r="G541" t="s">
        <v>74</v>
      </c>
      <c r="H541" t="s">
        <v>74</v>
      </c>
      <c r="I541" t="s">
        <v>8445</v>
      </c>
      <c r="J541" t="s">
        <v>8446</v>
      </c>
      <c r="K541" t="s">
        <v>74</v>
      </c>
      <c r="L541" t="s">
        <v>74</v>
      </c>
      <c r="M541" t="s">
        <v>78</v>
      </c>
      <c r="N541" t="s">
        <v>79</v>
      </c>
      <c r="O541" t="s">
        <v>74</v>
      </c>
      <c r="P541" t="s">
        <v>74</v>
      </c>
      <c r="Q541" t="s">
        <v>74</v>
      </c>
      <c r="R541" t="s">
        <v>74</v>
      </c>
      <c r="S541" t="s">
        <v>74</v>
      </c>
      <c r="T541" t="s">
        <v>8447</v>
      </c>
      <c r="U541" t="s">
        <v>8448</v>
      </c>
      <c r="V541" t="s">
        <v>8449</v>
      </c>
      <c r="W541" t="s">
        <v>8450</v>
      </c>
      <c r="X541" t="s">
        <v>8451</v>
      </c>
      <c r="Y541" t="s">
        <v>8452</v>
      </c>
      <c r="Z541" t="s">
        <v>8453</v>
      </c>
      <c r="AA541" t="s">
        <v>8454</v>
      </c>
      <c r="AB541" t="s">
        <v>8455</v>
      </c>
      <c r="AC541" t="s">
        <v>8456</v>
      </c>
      <c r="AD541" t="s">
        <v>1328</v>
      </c>
      <c r="AE541" t="s">
        <v>74</v>
      </c>
      <c r="AF541" t="s">
        <v>74</v>
      </c>
      <c r="AG541">
        <v>87</v>
      </c>
      <c r="AH541">
        <v>13</v>
      </c>
      <c r="AI541">
        <v>13</v>
      </c>
      <c r="AJ541">
        <v>0</v>
      </c>
      <c r="AK541">
        <v>11</v>
      </c>
      <c r="AL541" t="s">
        <v>519</v>
      </c>
      <c r="AM541" t="s">
        <v>520</v>
      </c>
      <c r="AN541" t="s">
        <v>521</v>
      </c>
      <c r="AO541" t="s">
        <v>8457</v>
      </c>
      <c r="AP541" t="s">
        <v>8458</v>
      </c>
      <c r="AQ541" t="s">
        <v>74</v>
      </c>
      <c r="AR541" t="s">
        <v>8459</v>
      </c>
      <c r="AS541" t="s">
        <v>8460</v>
      </c>
      <c r="AT541" t="s">
        <v>8038</v>
      </c>
      <c r="AU541">
        <v>2006</v>
      </c>
      <c r="AV541">
        <v>50</v>
      </c>
      <c r="AW541" t="s">
        <v>1243</v>
      </c>
      <c r="AX541" t="s">
        <v>74</v>
      </c>
      <c r="AY541" t="s">
        <v>74</v>
      </c>
      <c r="AZ541" t="s">
        <v>74</v>
      </c>
      <c r="BA541" t="s">
        <v>74</v>
      </c>
      <c r="BB541">
        <v>127</v>
      </c>
      <c r="BC541">
        <v>147</v>
      </c>
      <c r="BD541" t="s">
        <v>74</v>
      </c>
      <c r="BE541" t="s">
        <v>8461</v>
      </c>
      <c r="BF541" t="str">
        <f>HYPERLINK("http://dx.doi.org/10.1016/j.gloplacha.2005.07.003","http://dx.doi.org/10.1016/j.gloplacha.2005.07.003")</f>
        <v>http://dx.doi.org/10.1016/j.gloplacha.2005.07.003</v>
      </c>
      <c r="BG541" t="s">
        <v>74</v>
      </c>
      <c r="BH541" t="s">
        <v>74</v>
      </c>
      <c r="BI541">
        <v>21</v>
      </c>
      <c r="BJ541" t="s">
        <v>2893</v>
      </c>
      <c r="BK541" t="s">
        <v>97</v>
      </c>
      <c r="BL541" t="s">
        <v>2894</v>
      </c>
      <c r="BM541" t="s">
        <v>8462</v>
      </c>
      <c r="BN541" t="s">
        <v>74</v>
      </c>
      <c r="BO541" t="s">
        <v>74</v>
      </c>
      <c r="BP541" t="s">
        <v>74</v>
      </c>
      <c r="BQ541" t="s">
        <v>74</v>
      </c>
      <c r="BR541" t="s">
        <v>100</v>
      </c>
      <c r="BS541" t="s">
        <v>8463</v>
      </c>
      <c r="BT541" t="str">
        <f>HYPERLINK("https%3A%2F%2Fwww.webofscience.com%2Fwos%2Fwoscc%2Ffull-record%2FWOS:000238512300001","View Full Record in Web of Science")</f>
        <v>View Full Record in Web of Science</v>
      </c>
    </row>
    <row r="542" spans="1:72" x14ac:dyDescent="0.15">
      <c r="A542" t="s">
        <v>72</v>
      </c>
      <c r="B542" t="s">
        <v>8464</v>
      </c>
      <c r="C542" t="s">
        <v>74</v>
      </c>
      <c r="D542" t="s">
        <v>74</v>
      </c>
      <c r="E542" t="s">
        <v>74</v>
      </c>
      <c r="F542" t="s">
        <v>8464</v>
      </c>
      <c r="G542" t="s">
        <v>74</v>
      </c>
      <c r="H542" t="s">
        <v>74</v>
      </c>
      <c r="I542" t="s">
        <v>8465</v>
      </c>
      <c r="J542" t="s">
        <v>8466</v>
      </c>
      <c r="K542" t="s">
        <v>74</v>
      </c>
      <c r="L542" t="s">
        <v>74</v>
      </c>
      <c r="M542" t="s">
        <v>78</v>
      </c>
      <c r="N542" t="s">
        <v>79</v>
      </c>
      <c r="O542" t="s">
        <v>74</v>
      </c>
      <c r="P542" t="s">
        <v>74</v>
      </c>
      <c r="Q542" t="s">
        <v>74</v>
      </c>
      <c r="R542" t="s">
        <v>74</v>
      </c>
      <c r="S542" t="s">
        <v>74</v>
      </c>
      <c r="T542" t="s">
        <v>8467</v>
      </c>
      <c r="U542" t="s">
        <v>8468</v>
      </c>
      <c r="V542" t="s">
        <v>8469</v>
      </c>
      <c r="W542" t="s">
        <v>8470</v>
      </c>
      <c r="X542" t="s">
        <v>8471</v>
      </c>
      <c r="Y542" t="s">
        <v>8472</v>
      </c>
      <c r="Z542" t="s">
        <v>8473</v>
      </c>
      <c r="AA542" t="s">
        <v>8474</v>
      </c>
      <c r="AB542" t="s">
        <v>8475</v>
      </c>
      <c r="AC542" t="s">
        <v>74</v>
      </c>
      <c r="AD542" t="s">
        <v>74</v>
      </c>
      <c r="AE542" t="s">
        <v>74</v>
      </c>
      <c r="AF542" t="s">
        <v>74</v>
      </c>
      <c r="AG542">
        <v>52</v>
      </c>
      <c r="AH542">
        <v>116</v>
      </c>
      <c r="AI542">
        <v>127</v>
      </c>
      <c r="AJ542">
        <v>1</v>
      </c>
      <c r="AK542">
        <v>34</v>
      </c>
      <c r="AL542" t="s">
        <v>115</v>
      </c>
      <c r="AM542" t="s">
        <v>116</v>
      </c>
      <c r="AN542" t="s">
        <v>117</v>
      </c>
      <c r="AO542" t="s">
        <v>8476</v>
      </c>
      <c r="AP542" t="s">
        <v>8477</v>
      </c>
      <c r="AQ542" t="s">
        <v>74</v>
      </c>
      <c r="AR542" t="s">
        <v>8478</v>
      </c>
      <c r="AS542" t="s">
        <v>8479</v>
      </c>
      <c r="AT542" t="s">
        <v>8038</v>
      </c>
      <c r="AU542">
        <v>2006</v>
      </c>
      <c r="AV542">
        <v>12</v>
      </c>
      <c r="AW542">
        <v>4</v>
      </c>
      <c r="AX542" t="s">
        <v>74</v>
      </c>
      <c r="AY542" t="s">
        <v>74</v>
      </c>
      <c r="AZ542" t="s">
        <v>74</v>
      </c>
      <c r="BA542" t="s">
        <v>74</v>
      </c>
      <c r="BB542">
        <v>611</v>
      </c>
      <c r="BC542">
        <v>625</v>
      </c>
      <c r="BD542" t="s">
        <v>74</v>
      </c>
      <c r="BE542" t="s">
        <v>8480</v>
      </c>
      <c r="BF542" t="str">
        <f>HYPERLINK("http://dx.doi.org/10.1111/j.1365-2486.2006.01130.x","http://dx.doi.org/10.1111/j.1365-2486.2006.01130.x")</f>
        <v>http://dx.doi.org/10.1111/j.1365-2486.2006.01130.x</v>
      </c>
      <c r="BG542" t="s">
        <v>74</v>
      </c>
      <c r="BH542" t="s">
        <v>74</v>
      </c>
      <c r="BI542">
        <v>15</v>
      </c>
      <c r="BJ542" t="s">
        <v>2637</v>
      </c>
      <c r="BK542" t="s">
        <v>97</v>
      </c>
      <c r="BL542" t="s">
        <v>1526</v>
      </c>
      <c r="BM542" t="s">
        <v>8481</v>
      </c>
      <c r="BN542" t="s">
        <v>74</v>
      </c>
      <c r="BO542" t="s">
        <v>74</v>
      </c>
      <c r="BP542" t="s">
        <v>74</v>
      </c>
      <c r="BQ542" t="s">
        <v>74</v>
      </c>
      <c r="BR542" t="s">
        <v>100</v>
      </c>
      <c r="BS542" t="s">
        <v>8482</v>
      </c>
      <c r="BT542" t="str">
        <f>HYPERLINK("https%3A%2F%2Fwww.webofscience.com%2Fwos%2Fwoscc%2Ffull-record%2FWOS:000236549600001","View Full Record in Web of Science")</f>
        <v>View Full Record in Web of Science</v>
      </c>
    </row>
    <row r="543" spans="1:72" x14ac:dyDescent="0.15">
      <c r="A543" t="s">
        <v>72</v>
      </c>
      <c r="B543" t="s">
        <v>8483</v>
      </c>
      <c r="C543" t="s">
        <v>74</v>
      </c>
      <c r="D543" t="s">
        <v>74</v>
      </c>
      <c r="E543" t="s">
        <v>74</v>
      </c>
      <c r="F543" t="s">
        <v>8483</v>
      </c>
      <c r="G543" t="s">
        <v>74</v>
      </c>
      <c r="H543" t="s">
        <v>74</v>
      </c>
      <c r="I543" t="s">
        <v>8484</v>
      </c>
      <c r="J543" t="s">
        <v>8485</v>
      </c>
      <c r="K543" t="s">
        <v>74</v>
      </c>
      <c r="L543" t="s">
        <v>74</v>
      </c>
      <c r="M543" t="s">
        <v>78</v>
      </c>
      <c r="N543" t="s">
        <v>1226</v>
      </c>
      <c r="O543" t="s">
        <v>8486</v>
      </c>
      <c r="P543" t="s">
        <v>8487</v>
      </c>
      <c r="Q543" t="s">
        <v>8488</v>
      </c>
      <c r="R543" t="s">
        <v>74</v>
      </c>
      <c r="S543" t="s">
        <v>8489</v>
      </c>
      <c r="T543" t="s">
        <v>8490</v>
      </c>
      <c r="U543" t="s">
        <v>8491</v>
      </c>
      <c r="V543" t="s">
        <v>8492</v>
      </c>
      <c r="W543" t="s">
        <v>8493</v>
      </c>
      <c r="X543" t="s">
        <v>8494</v>
      </c>
      <c r="Y543" t="s">
        <v>8495</v>
      </c>
      <c r="Z543" t="s">
        <v>8496</v>
      </c>
      <c r="AA543" t="s">
        <v>8497</v>
      </c>
      <c r="AB543" t="s">
        <v>8498</v>
      </c>
      <c r="AC543" t="s">
        <v>74</v>
      </c>
      <c r="AD543" t="s">
        <v>74</v>
      </c>
      <c r="AE543" t="s">
        <v>74</v>
      </c>
      <c r="AF543" t="s">
        <v>74</v>
      </c>
      <c r="AG543">
        <v>36</v>
      </c>
      <c r="AH543">
        <v>11</v>
      </c>
      <c r="AI543">
        <v>12</v>
      </c>
      <c r="AJ543">
        <v>0</v>
      </c>
      <c r="AK543">
        <v>23</v>
      </c>
      <c r="AL543" t="s">
        <v>3390</v>
      </c>
      <c r="AM543" t="s">
        <v>3391</v>
      </c>
      <c r="AN543" t="s">
        <v>3392</v>
      </c>
      <c r="AO543" t="s">
        <v>8499</v>
      </c>
      <c r="AP543" t="s">
        <v>8500</v>
      </c>
      <c r="AQ543" t="s">
        <v>74</v>
      </c>
      <c r="AR543" t="s">
        <v>8501</v>
      </c>
      <c r="AS543" t="s">
        <v>8502</v>
      </c>
      <c r="AT543" t="s">
        <v>8038</v>
      </c>
      <c r="AU543">
        <v>2006</v>
      </c>
      <c r="AV543">
        <v>12</v>
      </c>
      <c r="AW543">
        <v>2</v>
      </c>
      <c r="AX543" t="s">
        <v>74</v>
      </c>
      <c r="AY543" t="s">
        <v>74</v>
      </c>
      <c r="AZ543" t="s">
        <v>74</v>
      </c>
      <c r="BA543" t="s">
        <v>74</v>
      </c>
      <c r="BB543">
        <v>328</v>
      </c>
      <c r="BC543">
        <v>338</v>
      </c>
      <c r="BD543" t="s">
        <v>74</v>
      </c>
      <c r="BE543" t="s">
        <v>8503</v>
      </c>
      <c r="BF543" t="str">
        <f>HYPERLINK("http://dx.doi.org/10.1080/10807030500536819","http://dx.doi.org/10.1080/10807030500536819")</f>
        <v>http://dx.doi.org/10.1080/10807030500536819</v>
      </c>
      <c r="BG543" t="s">
        <v>74</v>
      </c>
      <c r="BH543" t="s">
        <v>74</v>
      </c>
      <c r="BI543">
        <v>11</v>
      </c>
      <c r="BJ543" t="s">
        <v>8504</v>
      </c>
      <c r="BK543" t="s">
        <v>668</v>
      </c>
      <c r="BL543" t="s">
        <v>1526</v>
      </c>
      <c r="BM543" t="s">
        <v>8505</v>
      </c>
      <c r="BN543" t="s">
        <v>74</v>
      </c>
      <c r="BO543" t="s">
        <v>74</v>
      </c>
      <c r="BP543" t="s">
        <v>74</v>
      </c>
      <c r="BQ543" t="s">
        <v>74</v>
      </c>
      <c r="BR543" t="s">
        <v>100</v>
      </c>
      <c r="BS543" t="s">
        <v>8506</v>
      </c>
      <c r="BT543" t="str">
        <f>HYPERLINK("https%3A%2F%2Fwww.webofscience.com%2Fwos%2Fwoscc%2Ffull-record%2FWOS:000237022500012","View Full Record in Web of Science")</f>
        <v>View Full Record in Web of Science</v>
      </c>
    </row>
    <row r="544" spans="1:72" x14ac:dyDescent="0.15">
      <c r="A544" t="s">
        <v>72</v>
      </c>
      <c r="B544" t="s">
        <v>8507</v>
      </c>
      <c r="C544" t="s">
        <v>74</v>
      </c>
      <c r="D544" t="s">
        <v>74</v>
      </c>
      <c r="E544" t="s">
        <v>74</v>
      </c>
      <c r="F544" t="s">
        <v>8507</v>
      </c>
      <c r="G544" t="s">
        <v>74</v>
      </c>
      <c r="H544" t="s">
        <v>74</v>
      </c>
      <c r="I544" t="s">
        <v>8508</v>
      </c>
      <c r="J544" t="s">
        <v>786</v>
      </c>
      <c r="K544" t="s">
        <v>74</v>
      </c>
      <c r="L544" t="s">
        <v>74</v>
      </c>
      <c r="M544" t="s">
        <v>78</v>
      </c>
      <c r="N544" t="s">
        <v>1226</v>
      </c>
      <c r="O544" t="s">
        <v>8509</v>
      </c>
      <c r="P544" t="s">
        <v>8510</v>
      </c>
      <c r="Q544" t="s">
        <v>8511</v>
      </c>
      <c r="R544" t="s">
        <v>74</v>
      </c>
      <c r="S544" t="s">
        <v>74</v>
      </c>
      <c r="T544" t="s">
        <v>8512</v>
      </c>
      <c r="U544" t="s">
        <v>8513</v>
      </c>
      <c r="V544" t="s">
        <v>8514</v>
      </c>
      <c r="W544" t="s">
        <v>8515</v>
      </c>
      <c r="X544" t="s">
        <v>7992</v>
      </c>
      <c r="Y544" t="s">
        <v>8516</v>
      </c>
      <c r="Z544" t="s">
        <v>8517</v>
      </c>
      <c r="AA544" t="s">
        <v>8518</v>
      </c>
      <c r="AB544" t="s">
        <v>8519</v>
      </c>
      <c r="AC544" t="s">
        <v>74</v>
      </c>
      <c r="AD544" t="s">
        <v>74</v>
      </c>
      <c r="AE544" t="s">
        <v>74</v>
      </c>
      <c r="AF544" t="s">
        <v>74</v>
      </c>
      <c r="AG544">
        <v>55</v>
      </c>
      <c r="AH544">
        <v>21</v>
      </c>
      <c r="AI544">
        <v>23</v>
      </c>
      <c r="AJ544">
        <v>0</v>
      </c>
      <c r="AK544">
        <v>8</v>
      </c>
      <c r="AL544" t="s">
        <v>794</v>
      </c>
      <c r="AM544" t="s">
        <v>795</v>
      </c>
      <c r="AN544" t="s">
        <v>796</v>
      </c>
      <c r="AO544" t="s">
        <v>797</v>
      </c>
      <c r="AP544" t="s">
        <v>798</v>
      </c>
      <c r="AQ544" t="s">
        <v>74</v>
      </c>
      <c r="AR544" t="s">
        <v>799</v>
      </c>
      <c r="AS544" t="s">
        <v>800</v>
      </c>
      <c r="AT544" t="s">
        <v>8038</v>
      </c>
      <c r="AU544">
        <v>2006</v>
      </c>
      <c r="AV544">
        <v>44</v>
      </c>
      <c r="AW544">
        <v>4</v>
      </c>
      <c r="AX544" t="s">
        <v>74</v>
      </c>
      <c r="AY544" t="s">
        <v>74</v>
      </c>
      <c r="AZ544" t="s">
        <v>74</v>
      </c>
      <c r="BA544" t="s">
        <v>74</v>
      </c>
      <c r="BB544">
        <v>943</v>
      </c>
      <c r="BC544">
        <v>956</v>
      </c>
      <c r="BD544" t="s">
        <v>74</v>
      </c>
      <c r="BE544" t="s">
        <v>8520</v>
      </c>
      <c r="BF544" t="str">
        <f>HYPERLINK("http://dx.doi.org/10.1109/TGRS.2005.862524","http://dx.doi.org/10.1109/TGRS.2005.862524")</f>
        <v>http://dx.doi.org/10.1109/TGRS.2005.862524</v>
      </c>
      <c r="BG544" t="s">
        <v>74</v>
      </c>
      <c r="BH544" t="s">
        <v>74</v>
      </c>
      <c r="BI544">
        <v>14</v>
      </c>
      <c r="BJ544" t="s">
        <v>802</v>
      </c>
      <c r="BK544" t="s">
        <v>668</v>
      </c>
      <c r="BL544" t="s">
        <v>803</v>
      </c>
      <c r="BM544" t="s">
        <v>8521</v>
      </c>
      <c r="BN544" t="s">
        <v>74</v>
      </c>
      <c r="BO544" t="s">
        <v>99</v>
      </c>
      <c r="BP544" t="s">
        <v>74</v>
      </c>
      <c r="BQ544" t="s">
        <v>74</v>
      </c>
      <c r="BR544" t="s">
        <v>100</v>
      </c>
      <c r="BS544" t="s">
        <v>8522</v>
      </c>
      <c r="BT544" t="str">
        <f>HYPERLINK("https%3A%2F%2Fwww.webofscience.com%2Fwos%2Fwoscc%2Ffull-record%2FWOS:000236474100020","View Full Record in Web of Science")</f>
        <v>View Full Record in Web of Science</v>
      </c>
    </row>
    <row r="545" spans="1:72" x14ac:dyDescent="0.15">
      <c r="A545" t="s">
        <v>72</v>
      </c>
      <c r="B545" t="s">
        <v>8523</v>
      </c>
      <c r="C545" t="s">
        <v>74</v>
      </c>
      <c r="D545" t="s">
        <v>74</v>
      </c>
      <c r="E545" t="s">
        <v>74</v>
      </c>
      <c r="F545" t="s">
        <v>8524</v>
      </c>
      <c r="G545" t="s">
        <v>74</v>
      </c>
      <c r="H545" t="s">
        <v>74</v>
      </c>
      <c r="I545" t="s">
        <v>8525</v>
      </c>
      <c r="J545" t="s">
        <v>8526</v>
      </c>
      <c r="K545" t="s">
        <v>74</v>
      </c>
      <c r="L545" t="s">
        <v>74</v>
      </c>
      <c r="M545" t="s">
        <v>78</v>
      </c>
      <c r="N545" t="s">
        <v>79</v>
      </c>
      <c r="O545" t="s">
        <v>74</v>
      </c>
      <c r="P545" t="s">
        <v>74</v>
      </c>
      <c r="Q545" t="s">
        <v>74</v>
      </c>
      <c r="R545" t="s">
        <v>74</v>
      </c>
      <c r="S545" t="s">
        <v>74</v>
      </c>
      <c r="T545" t="s">
        <v>8527</v>
      </c>
      <c r="U545" t="s">
        <v>8528</v>
      </c>
      <c r="V545" t="s">
        <v>8529</v>
      </c>
      <c r="W545" t="s">
        <v>8530</v>
      </c>
      <c r="X545" t="s">
        <v>8531</v>
      </c>
      <c r="Y545" t="s">
        <v>74</v>
      </c>
      <c r="Z545" t="s">
        <v>8532</v>
      </c>
      <c r="AA545" t="s">
        <v>8533</v>
      </c>
      <c r="AB545" t="s">
        <v>8534</v>
      </c>
      <c r="AC545" t="s">
        <v>8535</v>
      </c>
      <c r="AD545" t="s">
        <v>8536</v>
      </c>
      <c r="AE545" t="s">
        <v>8537</v>
      </c>
      <c r="AF545" t="s">
        <v>74</v>
      </c>
      <c r="AG545">
        <v>57</v>
      </c>
      <c r="AH545">
        <v>61</v>
      </c>
      <c r="AI545">
        <v>71</v>
      </c>
      <c r="AJ545">
        <v>3</v>
      </c>
      <c r="AK545">
        <v>46</v>
      </c>
      <c r="AL545" t="s">
        <v>1139</v>
      </c>
      <c r="AM545" t="s">
        <v>476</v>
      </c>
      <c r="AN545" t="s">
        <v>1140</v>
      </c>
      <c r="AO545" t="s">
        <v>8538</v>
      </c>
      <c r="AP545" t="s">
        <v>8539</v>
      </c>
      <c r="AQ545" t="s">
        <v>74</v>
      </c>
      <c r="AR545" t="s">
        <v>8540</v>
      </c>
      <c r="AS545" t="s">
        <v>8541</v>
      </c>
      <c r="AT545" t="s">
        <v>8038</v>
      </c>
      <c r="AU545">
        <v>2006</v>
      </c>
      <c r="AV545">
        <v>5</v>
      </c>
      <c r="AW545">
        <v>2</v>
      </c>
      <c r="AX545" t="s">
        <v>74</v>
      </c>
      <c r="AY545" t="s">
        <v>74</v>
      </c>
      <c r="AZ545" t="s">
        <v>74</v>
      </c>
      <c r="BA545" t="s">
        <v>74</v>
      </c>
      <c r="BB545">
        <v>89</v>
      </c>
      <c r="BC545">
        <v>97</v>
      </c>
      <c r="BD545" t="s">
        <v>74</v>
      </c>
      <c r="BE545" t="s">
        <v>8542</v>
      </c>
      <c r="BF545" t="str">
        <f>HYPERLINK("http://dx.doi.org/10.1017/S1473550406002916","http://dx.doi.org/10.1017/S1473550406002916")</f>
        <v>http://dx.doi.org/10.1017/S1473550406002916</v>
      </c>
      <c r="BG545" t="s">
        <v>74</v>
      </c>
      <c r="BH545" t="s">
        <v>74</v>
      </c>
      <c r="BI545">
        <v>9</v>
      </c>
      <c r="BJ545" t="s">
        <v>8543</v>
      </c>
      <c r="BK545" t="s">
        <v>97</v>
      </c>
      <c r="BL545" t="s">
        <v>8544</v>
      </c>
      <c r="BM545" t="s">
        <v>8545</v>
      </c>
      <c r="BN545" t="s">
        <v>74</v>
      </c>
      <c r="BO545" t="s">
        <v>74</v>
      </c>
      <c r="BP545" t="s">
        <v>74</v>
      </c>
      <c r="BQ545" t="s">
        <v>74</v>
      </c>
      <c r="BR545" t="s">
        <v>100</v>
      </c>
      <c r="BS545" t="s">
        <v>8546</v>
      </c>
      <c r="BT545" t="str">
        <f>HYPERLINK("https%3A%2F%2Fwww.webofscience.com%2Fwos%2Fwoscc%2Ffull-record%2FWOS:000208656300001","View Full Record in Web of Science")</f>
        <v>View Full Record in Web of Science</v>
      </c>
    </row>
    <row r="546" spans="1:72" x14ac:dyDescent="0.15">
      <c r="A546" t="s">
        <v>72</v>
      </c>
      <c r="B546" t="s">
        <v>8547</v>
      </c>
      <c r="C546" t="s">
        <v>74</v>
      </c>
      <c r="D546" t="s">
        <v>74</v>
      </c>
      <c r="E546" t="s">
        <v>74</v>
      </c>
      <c r="F546" t="s">
        <v>8548</v>
      </c>
      <c r="G546" t="s">
        <v>74</v>
      </c>
      <c r="H546" t="s">
        <v>74</v>
      </c>
      <c r="I546" t="s">
        <v>8549</v>
      </c>
      <c r="J546" t="s">
        <v>8526</v>
      </c>
      <c r="K546" t="s">
        <v>74</v>
      </c>
      <c r="L546" t="s">
        <v>74</v>
      </c>
      <c r="M546" t="s">
        <v>78</v>
      </c>
      <c r="N546" t="s">
        <v>79</v>
      </c>
      <c r="O546" t="s">
        <v>74</v>
      </c>
      <c r="P546" t="s">
        <v>74</v>
      </c>
      <c r="Q546" t="s">
        <v>74</v>
      </c>
      <c r="R546" t="s">
        <v>74</v>
      </c>
      <c r="S546" t="s">
        <v>74</v>
      </c>
      <c r="T546" t="s">
        <v>8550</v>
      </c>
      <c r="U546" t="s">
        <v>8551</v>
      </c>
      <c r="V546" t="s">
        <v>8552</v>
      </c>
      <c r="W546" t="s">
        <v>8553</v>
      </c>
      <c r="X546" t="s">
        <v>8554</v>
      </c>
      <c r="Y546" t="s">
        <v>8555</v>
      </c>
      <c r="Z546" t="s">
        <v>8556</v>
      </c>
      <c r="AA546" t="s">
        <v>8557</v>
      </c>
      <c r="AB546" t="s">
        <v>8558</v>
      </c>
      <c r="AC546" t="s">
        <v>8559</v>
      </c>
      <c r="AD546" t="s">
        <v>8560</v>
      </c>
      <c r="AE546" t="s">
        <v>8561</v>
      </c>
      <c r="AF546" t="s">
        <v>74</v>
      </c>
      <c r="AG546">
        <v>49</v>
      </c>
      <c r="AH546">
        <v>7</v>
      </c>
      <c r="AI546">
        <v>7</v>
      </c>
      <c r="AJ546">
        <v>2</v>
      </c>
      <c r="AK546">
        <v>26</v>
      </c>
      <c r="AL546" t="s">
        <v>1139</v>
      </c>
      <c r="AM546" t="s">
        <v>476</v>
      </c>
      <c r="AN546" t="s">
        <v>1140</v>
      </c>
      <c r="AO546" t="s">
        <v>8538</v>
      </c>
      <c r="AP546" t="s">
        <v>8539</v>
      </c>
      <c r="AQ546" t="s">
        <v>74</v>
      </c>
      <c r="AR546" t="s">
        <v>8540</v>
      </c>
      <c r="AS546" t="s">
        <v>8541</v>
      </c>
      <c r="AT546" t="s">
        <v>8038</v>
      </c>
      <c r="AU546">
        <v>2006</v>
      </c>
      <c r="AV546">
        <v>5</v>
      </c>
      <c r="AW546">
        <v>2</v>
      </c>
      <c r="AX546" t="s">
        <v>74</v>
      </c>
      <c r="AY546" t="s">
        <v>74</v>
      </c>
      <c r="AZ546" t="s">
        <v>74</v>
      </c>
      <c r="BA546" t="s">
        <v>74</v>
      </c>
      <c r="BB546">
        <v>171</v>
      </c>
      <c r="BC546">
        <v>180</v>
      </c>
      <c r="BD546" t="s">
        <v>74</v>
      </c>
      <c r="BE546" t="s">
        <v>8562</v>
      </c>
      <c r="BF546" t="str">
        <f>HYPERLINK("http://dx.doi.org/10.1017/S1473550406003144","http://dx.doi.org/10.1017/S1473550406003144")</f>
        <v>http://dx.doi.org/10.1017/S1473550406003144</v>
      </c>
      <c r="BG546" t="s">
        <v>74</v>
      </c>
      <c r="BH546" t="s">
        <v>74</v>
      </c>
      <c r="BI546">
        <v>10</v>
      </c>
      <c r="BJ546" t="s">
        <v>8543</v>
      </c>
      <c r="BK546" t="s">
        <v>97</v>
      </c>
      <c r="BL546" t="s">
        <v>8544</v>
      </c>
      <c r="BM546" t="s">
        <v>8545</v>
      </c>
      <c r="BN546" t="s">
        <v>74</v>
      </c>
      <c r="BO546" t="s">
        <v>74</v>
      </c>
      <c r="BP546" t="s">
        <v>74</v>
      </c>
      <c r="BQ546" t="s">
        <v>74</v>
      </c>
      <c r="BR546" t="s">
        <v>100</v>
      </c>
      <c r="BS546" t="s">
        <v>8563</v>
      </c>
      <c r="BT546" t="str">
        <f>HYPERLINK("https%3A%2F%2Fwww.webofscience.com%2Fwos%2Fwoscc%2Ffull-record%2FWOS:000208656300006","View Full Record in Web of Science")</f>
        <v>View Full Record in Web of Science</v>
      </c>
    </row>
    <row r="547" spans="1:72" x14ac:dyDescent="0.15">
      <c r="A547" t="s">
        <v>72</v>
      </c>
      <c r="B547" t="s">
        <v>8564</v>
      </c>
      <c r="C547" t="s">
        <v>74</v>
      </c>
      <c r="D547" t="s">
        <v>74</v>
      </c>
      <c r="E547" t="s">
        <v>74</v>
      </c>
      <c r="F547" t="s">
        <v>8565</v>
      </c>
      <c r="G547" t="s">
        <v>74</v>
      </c>
      <c r="H547" t="s">
        <v>74</v>
      </c>
      <c r="I547" t="s">
        <v>8566</v>
      </c>
      <c r="J547" t="s">
        <v>8567</v>
      </c>
      <c r="K547" t="s">
        <v>74</v>
      </c>
      <c r="L547" t="s">
        <v>74</v>
      </c>
      <c r="M547" t="s">
        <v>78</v>
      </c>
      <c r="N547" t="s">
        <v>79</v>
      </c>
      <c r="O547" t="s">
        <v>74</v>
      </c>
      <c r="P547" t="s">
        <v>74</v>
      </c>
      <c r="Q547" t="s">
        <v>74</v>
      </c>
      <c r="R547" t="s">
        <v>74</v>
      </c>
      <c r="S547" t="s">
        <v>74</v>
      </c>
      <c r="T547" t="s">
        <v>8568</v>
      </c>
      <c r="U547" t="s">
        <v>8569</v>
      </c>
      <c r="V547" t="s">
        <v>8570</v>
      </c>
      <c r="W547" t="s">
        <v>8571</v>
      </c>
      <c r="X547" t="s">
        <v>8572</v>
      </c>
      <c r="Y547" t="s">
        <v>8573</v>
      </c>
      <c r="Z547" t="s">
        <v>8574</v>
      </c>
      <c r="AA547" t="s">
        <v>8575</v>
      </c>
      <c r="AB547" t="s">
        <v>74</v>
      </c>
      <c r="AC547" t="s">
        <v>74</v>
      </c>
      <c r="AD547" t="s">
        <v>74</v>
      </c>
      <c r="AE547" t="s">
        <v>74</v>
      </c>
      <c r="AF547" t="s">
        <v>74</v>
      </c>
      <c r="AG547">
        <v>40</v>
      </c>
      <c r="AH547">
        <v>16</v>
      </c>
      <c r="AI547">
        <v>17</v>
      </c>
      <c r="AJ547">
        <v>0</v>
      </c>
      <c r="AK547">
        <v>14</v>
      </c>
      <c r="AL547" t="s">
        <v>994</v>
      </c>
      <c r="AM547" t="s">
        <v>4805</v>
      </c>
      <c r="AN547" t="s">
        <v>4806</v>
      </c>
      <c r="AO547" t="s">
        <v>8576</v>
      </c>
      <c r="AP547" t="s">
        <v>74</v>
      </c>
      <c r="AQ547" t="s">
        <v>74</v>
      </c>
      <c r="AR547" t="s">
        <v>8577</v>
      </c>
      <c r="AS547" t="s">
        <v>8578</v>
      </c>
      <c r="AT547" t="s">
        <v>8038</v>
      </c>
      <c r="AU547">
        <v>2006</v>
      </c>
      <c r="AV547">
        <v>18</v>
      </c>
      <c r="AW547">
        <v>2</v>
      </c>
      <c r="AX547" t="s">
        <v>74</v>
      </c>
      <c r="AY547" t="s">
        <v>74</v>
      </c>
      <c r="AZ547" t="s">
        <v>74</v>
      </c>
      <c r="BA547" t="s">
        <v>74</v>
      </c>
      <c r="BB547">
        <v>167</v>
      </c>
      <c r="BC547">
        <v>174</v>
      </c>
      <c r="BD547" t="s">
        <v>74</v>
      </c>
      <c r="BE547" t="s">
        <v>8579</v>
      </c>
      <c r="BF547" t="str">
        <f>HYPERLINK("http://dx.doi.org/10.1007/s10811-006-9091-1","http://dx.doi.org/10.1007/s10811-006-9091-1")</f>
        <v>http://dx.doi.org/10.1007/s10811-006-9091-1</v>
      </c>
      <c r="BG547" t="s">
        <v>74</v>
      </c>
      <c r="BH547" t="s">
        <v>74</v>
      </c>
      <c r="BI547">
        <v>8</v>
      </c>
      <c r="BJ547" t="s">
        <v>8580</v>
      </c>
      <c r="BK547" t="s">
        <v>97</v>
      </c>
      <c r="BL547" t="s">
        <v>8580</v>
      </c>
      <c r="BM547" t="s">
        <v>8581</v>
      </c>
      <c r="BN547" t="s">
        <v>74</v>
      </c>
      <c r="BO547" t="s">
        <v>74</v>
      </c>
      <c r="BP547" t="s">
        <v>74</v>
      </c>
      <c r="BQ547" t="s">
        <v>74</v>
      </c>
      <c r="BR547" t="s">
        <v>100</v>
      </c>
      <c r="BS547" t="s">
        <v>8582</v>
      </c>
      <c r="BT547" t="str">
        <f>HYPERLINK("https%3A%2F%2Fwww.webofscience.com%2Fwos%2Fwoscc%2Ffull-record%2FWOS:000239891700008","View Full Record in Web of Science")</f>
        <v>View Full Record in Web of Science</v>
      </c>
    </row>
    <row r="548" spans="1:72" x14ac:dyDescent="0.15">
      <c r="A548" t="s">
        <v>72</v>
      </c>
      <c r="B548" t="s">
        <v>8583</v>
      </c>
      <c r="C548" t="s">
        <v>74</v>
      </c>
      <c r="D548" t="s">
        <v>74</v>
      </c>
      <c r="E548" t="s">
        <v>74</v>
      </c>
      <c r="F548" t="s">
        <v>8583</v>
      </c>
      <c r="G548" t="s">
        <v>74</v>
      </c>
      <c r="H548" t="s">
        <v>74</v>
      </c>
      <c r="I548" t="s">
        <v>8584</v>
      </c>
      <c r="J548" t="s">
        <v>1772</v>
      </c>
      <c r="K548" t="s">
        <v>74</v>
      </c>
      <c r="L548" t="s">
        <v>74</v>
      </c>
      <c r="M548" t="s">
        <v>78</v>
      </c>
      <c r="N548" t="s">
        <v>79</v>
      </c>
      <c r="O548" t="s">
        <v>74</v>
      </c>
      <c r="P548" t="s">
        <v>74</v>
      </c>
      <c r="Q548" t="s">
        <v>74</v>
      </c>
      <c r="R548" t="s">
        <v>74</v>
      </c>
      <c r="S548" t="s">
        <v>74</v>
      </c>
      <c r="T548" t="s">
        <v>74</v>
      </c>
      <c r="U548" t="s">
        <v>8585</v>
      </c>
      <c r="V548" t="s">
        <v>8586</v>
      </c>
      <c r="W548" t="s">
        <v>8587</v>
      </c>
      <c r="X548" t="s">
        <v>8588</v>
      </c>
      <c r="Y548" t="s">
        <v>8589</v>
      </c>
      <c r="Z548" t="s">
        <v>8590</v>
      </c>
      <c r="AA548" t="s">
        <v>74</v>
      </c>
      <c r="AB548" t="s">
        <v>74</v>
      </c>
      <c r="AC548" t="s">
        <v>74</v>
      </c>
      <c r="AD548" t="s">
        <v>74</v>
      </c>
      <c r="AE548" t="s">
        <v>74</v>
      </c>
      <c r="AF548" t="s">
        <v>74</v>
      </c>
      <c r="AG548">
        <v>44</v>
      </c>
      <c r="AH548">
        <v>6</v>
      </c>
      <c r="AI548">
        <v>6</v>
      </c>
      <c r="AJ548">
        <v>0</v>
      </c>
      <c r="AK548">
        <v>3</v>
      </c>
      <c r="AL548" t="s">
        <v>1757</v>
      </c>
      <c r="AM548" t="s">
        <v>88</v>
      </c>
      <c r="AN548" t="s">
        <v>1758</v>
      </c>
      <c r="AO548" t="s">
        <v>1779</v>
      </c>
      <c r="AP548" t="s">
        <v>1780</v>
      </c>
      <c r="AQ548" t="s">
        <v>74</v>
      </c>
      <c r="AR548" t="s">
        <v>1781</v>
      </c>
      <c r="AS548" t="s">
        <v>1782</v>
      </c>
      <c r="AT548" t="s">
        <v>8591</v>
      </c>
      <c r="AU548">
        <v>2006</v>
      </c>
      <c r="AV548">
        <v>111</v>
      </c>
      <c r="AW548" t="s">
        <v>8009</v>
      </c>
      <c r="AX548" t="s">
        <v>74</v>
      </c>
      <c r="AY548" t="s">
        <v>74</v>
      </c>
      <c r="AZ548" t="s">
        <v>74</v>
      </c>
      <c r="BA548" t="s">
        <v>74</v>
      </c>
      <c r="BB548" t="s">
        <v>74</v>
      </c>
      <c r="BC548" t="s">
        <v>74</v>
      </c>
      <c r="BD548" t="s">
        <v>8592</v>
      </c>
      <c r="BE548" t="s">
        <v>8593</v>
      </c>
      <c r="BF548" t="str">
        <f>HYPERLINK("http://dx.doi.org/10.1029/2005JD006506","http://dx.doi.org/10.1029/2005JD006506")</f>
        <v>http://dx.doi.org/10.1029/2005JD006506</v>
      </c>
      <c r="BG548" t="s">
        <v>74</v>
      </c>
      <c r="BH548" t="s">
        <v>74</v>
      </c>
      <c r="BI548">
        <v>15</v>
      </c>
      <c r="BJ548" t="s">
        <v>869</v>
      </c>
      <c r="BK548" t="s">
        <v>97</v>
      </c>
      <c r="BL548" t="s">
        <v>869</v>
      </c>
      <c r="BM548" t="s">
        <v>8594</v>
      </c>
      <c r="BN548" t="s">
        <v>74</v>
      </c>
      <c r="BO548" t="s">
        <v>460</v>
      </c>
      <c r="BP548" t="s">
        <v>74</v>
      </c>
      <c r="BQ548" t="s">
        <v>74</v>
      </c>
      <c r="BR548" t="s">
        <v>100</v>
      </c>
      <c r="BS548" t="s">
        <v>8595</v>
      </c>
      <c r="BT548" t="str">
        <f>HYPERLINK("https%3A%2F%2Fwww.webofscience.com%2Fwos%2Fwoscc%2Ffull-record%2FWOS:000236730700001","View Full Record in Web of Science")</f>
        <v>View Full Record in Web of Science</v>
      </c>
    </row>
    <row r="549" spans="1:72" x14ac:dyDescent="0.15">
      <c r="A549" t="s">
        <v>72</v>
      </c>
      <c r="B549" t="s">
        <v>8596</v>
      </c>
      <c r="C549" t="s">
        <v>74</v>
      </c>
      <c r="D549" t="s">
        <v>74</v>
      </c>
      <c r="E549" t="s">
        <v>74</v>
      </c>
      <c r="F549" t="s">
        <v>8596</v>
      </c>
      <c r="G549" t="s">
        <v>74</v>
      </c>
      <c r="H549" t="s">
        <v>74</v>
      </c>
      <c r="I549" t="s">
        <v>8597</v>
      </c>
      <c r="J549" t="s">
        <v>8598</v>
      </c>
      <c r="K549" t="s">
        <v>74</v>
      </c>
      <c r="L549" t="s">
        <v>74</v>
      </c>
      <c r="M549" t="s">
        <v>78</v>
      </c>
      <c r="N549" t="s">
        <v>79</v>
      </c>
      <c r="O549" t="s">
        <v>74</v>
      </c>
      <c r="P549" t="s">
        <v>74</v>
      </c>
      <c r="Q549" t="s">
        <v>74</v>
      </c>
      <c r="R549" t="s">
        <v>74</v>
      </c>
      <c r="S549" t="s">
        <v>74</v>
      </c>
      <c r="T549" t="s">
        <v>8599</v>
      </c>
      <c r="U549" t="s">
        <v>8600</v>
      </c>
      <c r="V549" t="s">
        <v>8601</v>
      </c>
      <c r="W549" t="s">
        <v>8602</v>
      </c>
      <c r="X549" t="s">
        <v>74</v>
      </c>
      <c r="Y549" t="s">
        <v>8603</v>
      </c>
      <c r="Z549" t="s">
        <v>8604</v>
      </c>
      <c r="AA549" t="s">
        <v>74</v>
      </c>
      <c r="AB549" t="s">
        <v>8605</v>
      </c>
      <c r="AC549" t="s">
        <v>74</v>
      </c>
      <c r="AD549" t="s">
        <v>74</v>
      </c>
      <c r="AE549" t="s">
        <v>74</v>
      </c>
      <c r="AF549" t="s">
        <v>74</v>
      </c>
      <c r="AG549">
        <v>47</v>
      </c>
      <c r="AH549">
        <v>45</v>
      </c>
      <c r="AI549">
        <v>55</v>
      </c>
      <c r="AJ549">
        <v>0</v>
      </c>
      <c r="AK549">
        <v>17</v>
      </c>
      <c r="AL549" t="s">
        <v>8606</v>
      </c>
      <c r="AM549" t="s">
        <v>8607</v>
      </c>
      <c r="AN549" t="s">
        <v>8608</v>
      </c>
      <c r="AO549" t="s">
        <v>8609</v>
      </c>
      <c r="AP549" t="s">
        <v>74</v>
      </c>
      <c r="AQ549" t="s">
        <v>74</v>
      </c>
      <c r="AR549" t="s">
        <v>8610</v>
      </c>
      <c r="AS549" t="s">
        <v>8611</v>
      </c>
      <c r="AT549" t="s">
        <v>8038</v>
      </c>
      <c r="AU549">
        <v>2006</v>
      </c>
      <c r="AV549">
        <v>87</v>
      </c>
      <c r="AW549">
        <v>2</v>
      </c>
      <c r="AX549" t="s">
        <v>74</v>
      </c>
      <c r="AY549" t="s">
        <v>74</v>
      </c>
      <c r="AZ549" t="s">
        <v>74</v>
      </c>
      <c r="BA549" t="s">
        <v>74</v>
      </c>
      <c r="BB549">
        <v>304</v>
      </c>
      <c r="BC549">
        <v>311</v>
      </c>
      <c r="BD549" t="s">
        <v>74</v>
      </c>
      <c r="BE549" t="s">
        <v>8612</v>
      </c>
      <c r="BF549" t="str">
        <f>HYPERLINK("http://dx.doi.org/10.1644/05-MAMM-A-163R2.1","http://dx.doi.org/10.1644/05-MAMM-A-163R2.1")</f>
        <v>http://dx.doi.org/10.1644/05-MAMM-A-163R2.1</v>
      </c>
      <c r="BG549" t="s">
        <v>74</v>
      </c>
      <c r="BH549" t="s">
        <v>74</v>
      </c>
      <c r="BI549">
        <v>8</v>
      </c>
      <c r="BJ549" t="s">
        <v>1000</v>
      </c>
      <c r="BK549" t="s">
        <v>97</v>
      </c>
      <c r="BL549" t="s">
        <v>1000</v>
      </c>
      <c r="BM549" t="s">
        <v>8613</v>
      </c>
      <c r="BN549" t="s">
        <v>74</v>
      </c>
      <c r="BO549" t="s">
        <v>74</v>
      </c>
      <c r="BP549" t="s">
        <v>74</v>
      </c>
      <c r="BQ549" t="s">
        <v>74</v>
      </c>
      <c r="BR549" t="s">
        <v>100</v>
      </c>
      <c r="BS549" t="s">
        <v>8614</v>
      </c>
      <c r="BT549" t="str">
        <f>HYPERLINK("https%3A%2F%2Fwww.webofscience.com%2Fwos%2Fwoscc%2Ffull-record%2FWOS:000237125800014","View Full Record in Web of Science")</f>
        <v>View Full Record in Web of Science</v>
      </c>
    </row>
    <row r="550" spans="1:72" x14ac:dyDescent="0.15">
      <c r="A550" t="s">
        <v>72</v>
      </c>
      <c r="B550" t="s">
        <v>8615</v>
      </c>
      <c r="C550" t="s">
        <v>74</v>
      </c>
      <c r="D550" t="s">
        <v>74</v>
      </c>
      <c r="E550" t="s">
        <v>74</v>
      </c>
      <c r="F550" t="s">
        <v>8615</v>
      </c>
      <c r="G550" t="s">
        <v>74</v>
      </c>
      <c r="H550" t="s">
        <v>74</v>
      </c>
      <c r="I550" t="s">
        <v>8616</v>
      </c>
      <c r="J550" t="s">
        <v>8617</v>
      </c>
      <c r="K550" t="s">
        <v>74</v>
      </c>
      <c r="L550" t="s">
        <v>74</v>
      </c>
      <c r="M550" t="s">
        <v>78</v>
      </c>
      <c r="N550" t="s">
        <v>79</v>
      </c>
      <c r="O550" t="s">
        <v>74</v>
      </c>
      <c r="P550" t="s">
        <v>74</v>
      </c>
      <c r="Q550" t="s">
        <v>74</v>
      </c>
      <c r="R550" t="s">
        <v>74</v>
      </c>
      <c r="S550" t="s">
        <v>74</v>
      </c>
      <c r="T550" t="s">
        <v>74</v>
      </c>
      <c r="U550" t="s">
        <v>74</v>
      </c>
      <c r="V550" t="s">
        <v>74</v>
      </c>
      <c r="W550" t="s">
        <v>8618</v>
      </c>
      <c r="X550" t="s">
        <v>8619</v>
      </c>
      <c r="Y550" t="s">
        <v>8620</v>
      </c>
      <c r="Z550" t="s">
        <v>8621</v>
      </c>
      <c r="AA550" t="s">
        <v>8622</v>
      </c>
      <c r="AB550" t="s">
        <v>8623</v>
      </c>
      <c r="AC550" t="s">
        <v>74</v>
      </c>
      <c r="AD550" t="s">
        <v>74</v>
      </c>
      <c r="AE550" t="s">
        <v>74</v>
      </c>
      <c r="AF550" t="s">
        <v>74</v>
      </c>
      <c r="AG550">
        <v>4</v>
      </c>
      <c r="AH550">
        <v>2</v>
      </c>
      <c r="AI550">
        <v>2</v>
      </c>
      <c r="AJ550">
        <v>0</v>
      </c>
      <c r="AK550">
        <v>2</v>
      </c>
      <c r="AL550" t="s">
        <v>8624</v>
      </c>
      <c r="AM550" t="s">
        <v>8625</v>
      </c>
      <c r="AN550" t="s">
        <v>8626</v>
      </c>
      <c r="AO550" t="s">
        <v>8627</v>
      </c>
      <c r="AP550" t="s">
        <v>74</v>
      </c>
      <c r="AQ550" t="s">
        <v>74</v>
      </c>
      <c r="AR550" t="s">
        <v>8628</v>
      </c>
      <c r="AS550" t="s">
        <v>8629</v>
      </c>
      <c r="AT550" t="s">
        <v>8038</v>
      </c>
      <c r="AU550">
        <v>2006</v>
      </c>
      <c r="AV550">
        <v>25</v>
      </c>
      <c r="AW550" t="s">
        <v>74</v>
      </c>
      <c r="AX550">
        <v>1</v>
      </c>
      <c r="AY550" t="s">
        <v>74</v>
      </c>
      <c r="AZ550" t="s">
        <v>74</v>
      </c>
      <c r="BA550" t="s">
        <v>74</v>
      </c>
      <c r="BB550">
        <v>55</v>
      </c>
      <c r="BC550">
        <v>56</v>
      </c>
      <c r="BD550" t="s">
        <v>74</v>
      </c>
      <c r="BE550" t="s">
        <v>8630</v>
      </c>
      <c r="BF550" t="str">
        <f>HYPERLINK("http://dx.doi.org/10.1144/jm.25.1.55","http://dx.doi.org/10.1144/jm.25.1.55")</f>
        <v>http://dx.doi.org/10.1144/jm.25.1.55</v>
      </c>
      <c r="BG550" t="s">
        <v>74</v>
      </c>
      <c r="BH550" t="s">
        <v>74</v>
      </c>
      <c r="BI550">
        <v>2</v>
      </c>
      <c r="BJ550" t="s">
        <v>3916</v>
      </c>
      <c r="BK550" t="s">
        <v>97</v>
      </c>
      <c r="BL550" t="s">
        <v>3916</v>
      </c>
      <c r="BM550" t="s">
        <v>8631</v>
      </c>
      <c r="BN550" t="s">
        <v>74</v>
      </c>
      <c r="BO550" t="s">
        <v>901</v>
      </c>
      <c r="BP550" t="s">
        <v>74</v>
      </c>
      <c r="BQ550" t="s">
        <v>74</v>
      </c>
      <c r="BR550" t="s">
        <v>100</v>
      </c>
      <c r="BS550" t="s">
        <v>8632</v>
      </c>
      <c r="BT550" t="str">
        <f>HYPERLINK("https%3A%2F%2Fwww.webofscience.com%2Fwos%2Fwoscc%2Ffull-record%2FWOS:000238265000007","View Full Record in Web of Science")</f>
        <v>View Full Record in Web of Science</v>
      </c>
    </row>
    <row r="551" spans="1:72" x14ac:dyDescent="0.15">
      <c r="A551" t="s">
        <v>72</v>
      </c>
      <c r="B551" t="s">
        <v>8633</v>
      </c>
      <c r="C551" t="s">
        <v>74</v>
      </c>
      <c r="D551" t="s">
        <v>74</v>
      </c>
      <c r="E551" t="s">
        <v>74</v>
      </c>
      <c r="F551" t="s">
        <v>8633</v>
      </c>
      <c r="G551" t="s">
        <v>74</v>
      </c>
      <c r="H551" t="s">
        <v>74</v>
      </c>
      <c r="I551" t="s">
        <v>8634</v>
      </c>
      <c r="J551" t="s">
        <v>8635</v>
      </c>
      <c r="K551" t="s">
        <v>74</v>
      </c>
      <c r="L551" t="s">
        <v>74</v>
      </c>
      <c r="M551" t="s">
        <v>78</v>
      </c>
      <c r="N551" t="s">
        <v>79</v>
      </c>
      <c r="O551" t="s">
        <v>74</v>
      </c>
      <c r="P551" t="s">
        <v>74</v>
      </c>
      <c r="Q551" t="s">
        <v>74</v>
      </c>
      <c r="R551" t="s">
        <v>74</v>
      </c>
      <c r="S551" t="s">
        <v>74</v>
      </c>
      <c r="T551" t="s">
        <v>8636</v>
      </c>
      <c r="U551" t="s">
        <v>8637</v>
      </c>
      <c r="V551" t="s">
        <v>8638</v>
      </c>
      <c r="W551" t="s">
        <v>8639</v>
      </c>
      <c r="X551" t="s">
        <v>8640</v>
      </c>
      <c r="Y551" t="s">
        <v>8641</v>
      </c>
      <c r="Z551" t="s">
        <v>8642</v>
      </c>
      <c r="AA551" t="s">
        <v>8643</v>
      </c>
      <c r="AB551" t="s">
        <v>74</v>
      </c>
      <c r="AC551" t="s">
        <v>74</v>
      </c>
      <c r="AD551" t="s">
        <v>74</v>
      </c>
      <c r="AE551" t="s">
        <v>74</v>
      </c>
      <c r="AF551" t="s">
        <v>74</v>
      </c>
      <c r="AG551">
        <v>33</v>
      </c>
      <c r="AH551">
        <v>261</v>
      </c>
      <c r="AI551">
        <v>300</v>
      </c>
      <c r="AJ551">
        <v>0</v>
      </c>
      <c r="AK551">
        <v>60</v>
      </c>
      <c r="AL551" t="s">
        <v>994</v>
      </c>
      <c r="AM551" t="s">
        <v>4805</v>
      </c>
      <c r="AN551" t="s">
        <v>4806</v>
      </c>
      <c r="AO551" t="s">
        <v>8644</v>
      </c>
      <c r="AP551" t="s">
        <v>8645</v>
      </c>
      <c r="AQ551" t="s">
        <v>74</v>
      </c>
      <c r="AR551" t="s">
        <v>8646</v>
      </c>
      <c r="AS551" t="s">
        <v>8647</v>
      </c>
      <c r="AT551" t="s">
        <v>8038</v>
      </c>
      <c r="AU551">
        <v>2006</v>
      </c>
      <c r="AV551">
        <v>62</v>
      </c>
      <c r="AW551">
        <v>2</v>
      </c>
      <c r="AX551" t="s">
        <v>74</v>
      </c>
      <c r="AY551" t="s">
        <v>74</v>
      </c>
      <c r="AZ551" t="s">
        <v>74</v>
      </c>
      <c r="BA551" t="s">
        <v>74</v>
      </c>
      <c r="BB551">
        <v>155</v>
      </c>
      <c r="BC551">
        <v>170</v>
      </c>
      <c r="BD551" t="s">
        <v>74</v>
      </c>
      <c r="BE551" t="s">
        <v>8648</v>
      </c>
      <c r="BF551" t="str">
        <f>HYPERLINK("http://dx.doi.org/10.1007/s10872-006-0041-y","http://dx.doi.org/10.1007/s10872-006-0041-y")</f>
        <v>http://dx.doi.org/10.1007/s10872-006-0041-y</v>
      </c>
      <c r="BG551" t="s">
        <v>74</v>
      </c>
      <c r="BH551" t="s">
        <v>74</v>
      </c>
      <c r="BI551">
        <v>16</v>
      </c>
      <c r="BJ551" t="s">
        <v>1069</v>
      </c>
      <c r="BK551" t="s">
        <v>97</v>
      </c>
      <c r="BL551" t="s">
        <v>1069</v>
      </c>
      <c r="BM551" t="s">
        <v>8649</v>
      </c>
      <c r="BN551" t="s">
        <v>74</v>
      </c>
      <c r="BO551" t="s">
        <v>74</v>
      </c>
      <c r="BP551" t="s">
        <v>74</v>
      </c>
      <c r="BQ551" t="s">
        <v>74</v>
      </c>
      <c r="BR551" t="s">
        <v>100</v>
      </c>
      <c r="BS551" t="s">
        <v>8650</v>
      </c>
      <c r="BT551" t="str">
        <f>HYPERLINK("https%3A%2F%2Fwww.webofscience.com%2Fwos%2Fwoscc%2Ffull-record%2FWOS:000235488300004","View Full Record in Web of Science")</f>
        <v>View Full Record in Web of Science</v>
      </c>
    </row>
    <row r="552" spans="1:72" x14ac:dyDescent="0.15">
      <c r="A552" t="s">
        <v>72</v>
      </c>
      <c r="B552" t="s">
        <v>8651</v>
      </c>
      <c r="C552" t="s">
        <v>74</v>
      </c>
      <c r="D552" t="s">
        <v>74</v>
      </c>
      <c r="E552" t="s">
        <v>74</v>
      </c>
      <c r="F552" t="s">
        <v>8652</v>
      </c>
      <c r="G552" t="s">
        <v>74</v>
      </c>
      <c r="H552" t="s">
        <v>74</v>
      </c>
      <c r="I552" t="s">
        <v>8653</v>
      </c>
      <c r="J552" t="s">
        <v>8654</v>
      </c>
      <c r="K552" t="s">
        <v>74</v>
      </c>
      <c r="L552" t="s">
        <v>74</v>
      </c>
      <c r="M552" t="s">
        <v>78</v>
      </c>
      <c r="N552" t="s">
        <v>52</v>
      </c>
      <c r="O552" t="s">
        <v>74</v>
      </c>
      <c r="P552" t="s">
        <v>74</v>
      </c>
      <c r="Q552" t="s">
        <v>74</v>
      </c>
      <c r="R552" t="s">
        <v>74</v>
      </c>
      <c r="S552" t="s">
        <v>74</v>
      </c>
      <c r="T552" t="s">
        <v>74</v>
      </c>
      <c r="U552" t="s">
        <v>74</v>
      </c>
      <c r="V552" t="s">
        <v>74</v>
      </c>
      <c r="W552" t="s">
        <v>8655</v>
      </c>
      <c r="X552" t="s">
        <v>5677</v>
      </c>
      <c r="Y552" t="s">
        <v>74</v>
      </c>
      <c r="Z552" t="s">
        <v>74</v>
      </c>
      <c r="AA552" t="s">
        <v>5680</v>
      </c>
      <c r="AB552" t="s">
        <v>74</v>
      </c>
      <c r="AC552" t="s">
        <v>74</v>
      </c>
      <c r="AD552" t="s">
        <v>74</v>
      </c>
      <c r="AE552" t="s">
        <v>74</v>
      </c>
      <c r="AF552" t="s">
        <v>74</v>
      </c>
      <c r="AG552">
        <v>0</v>
      </c>
      <c r="AH552">
        <v>0</v>
      </c>
      <c r="AI552">
        <v>0</v>
      </c>
      <c r="AJ552">
        <v>0</v>
      </c>
      <c r="AK552">
        <v>2</v>
      </c>
      <c r="AL552" t="s">
        <v>840</v>
      </c>
      <c r="AM552" t="s">
        <v>388</v>
      </c>
      <c r="AN552" t="s">
        <v>841</v>
      </c>
      <c r="AO552" t="s">
        <v>8656</v>
      </c>
      <c r="AP552" t="s">
        <v>74</v>
      </c>
      <c r="AQ552" t="s">
        <v>74</v>
      </c>
      <c r="AR552" t="s">
        <v>8657</v>
      </c>
      <c r="AS552" t="s">
        <v>8658</v>
      </c>
      <c r="AT552" t="s">
        <v>8038</v>
      </c>
      <c r="AU552">
        <v>2006</v>
      </c>
      <c r="AV552">
        <v>42</v>
      </c>
      <c r="AW552" t="s">
        <v>74</v>
      </c>
      <c r="AX552" t="s">
        <v>74</v>
      </c>
      <c r="AY552">
        <v>1</v>
      </c>
      <c r="AZ552" t="s">
        <v>74</v>
      </c>
      <c r="BA552">
        <v>98</v>
      </c>
      <c r="BB552">
        <v>30</v>
      </c>
      <c r="BC552">
        <v>31</v>
      </c>
      <c r="BD552" t="s">
        <v>74</v>
      </c>
      <c r="BE552" t="s">
        <v>74</v>
      </c>
      <c r="BF552" t="s">
        <v>74</v>
      </c>
      <c r="BG552" t="s">
        <v>74</v>
      </c>
      <c r="BH552" t="s">
        <v>74</v>
      </c>
      <c r="BI552">
        <v>2</v>
      </c>
      <c r="BJ552" t="s">
        <v>504</v>
      </c>
      <c r="BK552" t="s">
        <v>97</v>
      </c>
      <c r="BL552" t="s">
        <v>504</v>
      </c>
      <c r="BM552" t="s">
        <v>8659</v>
      </c>
      <c r="BN552" t="s">
        <v>74</v>
      </c>
      <c r="BO552" t="s">
        <v>74</v>
      </c>
      <c r="BP552" t="s">
        <v>74</v>
      </c>
      <c r="BQ552" t="s">
        <v>74</v>
      </c>
      <c r="BR552" t="s">
        <v>100</v>
      </c>
      <c r="BS552" t="s">
        <v>8660</v>
      </c>
      <c r="BT552" t="str">
        <f>HYPERLINK("https%3A%2F%2Fwww.webofscience.com%2Fwos%2Fwoscc%2Ffull-record%2FWOS:000246004900099","View Full Record in Web of Science")</f>
        <v>View Full Record in Web of Science</v>
      </c>
    </row>
    <row r="553" spans="1:72" x14ac:dyDescent="0.15">
      <c r="A553" t="s">
        <v>72</v>
      </c>
      <c r="B553" t="s">
        <v>8661</v>
      </c>
      <c r="C553" t="s">
        <v>74</v>
      </c>
      <c r="D553" t="s">
        <v>74</v>
      </c>
      <c r="E553" t="s">
        <v>74</v>
      </c>
      <c r="F553" t="s">
        <v>8662</v>
      </c>
      <c r="G553" t="s">
        <v>74</v>
      </c>
      <c r="H553" t="s">
        <v>74</v>
      </c>
      <c r="I553" t="s">
        <v>8663</v>
      </c>
      <c r="J553" t="s">
        <v>1056</v>
      </c>
      <c r="K553" t="s">
        <v>74</v>
      </c>
      <c r="L553" t="s">
        <v>74</v>
      </c>
      <c r="M553" t="s">
        <v>78</v>
      </c>
      <c r="N553" t="s">
        <v>79</v>
      </c>
      <c r="O553" t="s">
        <v>74</v>
      </c>
      <c r="P553" t="s">
        <v>74</v>
      </c>
      <c r="Q553" t="s">
        <v>74</v>
      </c>
      <c r="R553" t="s">
        <v>74</v>
      </c>
      <c r="S553" t="s">
        <v>74</v>
      </c>
      <c r="T553" t="s">
        <v>74</v>
      </c>
      <c r="U553" t="s">
        <v>8664</v>
      </c>
      <c r="V553" t="s">
        <v>8665</v>
      </c>
      <c r="W553" t="s">
        <v>8666</v>
      </c>
      <c r="X553" t="s">
        <v>8667</v>
      </c>
      <c r="Y553" t="s">
        <v>8668</v>
      </c>
      <c r="Z553" t="s">
        <v>8669</v>
      </c>
      <c r="AA553" t="s">
        <v>74</v>
      </c>
      <c r="AB553" t="s">
        <v>74</v>
      </c>
      <c r="AC553" t="s">
        <v>74</v>
      </c>
      <c r="AD553" t="s">
        <v>74</v>
      </c>
      <c r="AE553" t="s">
        <v>74</v>
      </c>
      <c r="AF553" t="s">
        <v>74</v>
      </c>
      <c r="AG553">
        <v>18</v>
      </c>
      <c r="AH553">
        <v>19</v>
      </c>
      <c r="AI553">
        <v>21</v>
      </c>
      <c r="AJ553">
        <v>0</v>
      </c>
      <c r="AK553">
        <v>4</v>
      </c>
      <c r="AL553" t="s">
        <v>861</v>
      </c>
      <c r="AM553" t="s">
        <v>862</v>
      </c>
      <c r="AN553" t="s">
        <v>863</v>
      </c>
      <c r="AO553" t="s">
        <v>1065</v>
      </c>
      <c r="AP553" t="s">
        <v>1083</v>
      </c>
      <c r="AQ553" t="s">
        <v>74</v>
      </c>
      <c r="AR553" t="s">
        <v>1066</v>
      </c>
      <c r="AS553" t="s">
        <v>1067</v>
      </c>
      <c r="AT553" t="s">
        <v>8038</v>
      </c>
      <c r="AU553">
        <v>2006</v>
      </c>
      <c r="AV553">
        <v>36</v>
      </c>
      <c r="AW553">
        <v>4</v>
      </c>
      <c r="AX553" t="s">
        <v>74</v>
      </c>
      <c r="AY553" t="s">
        <v>74</v>
      </c>
      <c r="AZ553" t="s">
        <v>74</v>
      </c>
      <c r="BA553" t="s">
        <v>74</v>
      </c>
      <c r="BB553">
        <v>651</v>
      </c>
      <c r="BC553">
        <v>669</v>
      </c>
      <c r="BD553" t="s">
        <v>74</v>
      </c>
      <c r="BE553" t="s">
        <v>8670</v>
      </c>
      <c r="BF553" t="str">
        <f>HYPERLINK("http://dx.doi.org/10.1175/JPO2893.1","http://dx.doi.org/10.1175/JPO2893.1")</f>
        <v>http://dx.doi.org/10.1175/JPO2893.1</v>
      </c>
      <c r="BG553" t="s">
        <v>74</v>
      </c>
      <c r="BH553" t="s">
        <v>74</v>
      </c>
      <c r="BI553">
        <v>19</v>
      </c>
      <c r="BJ553" t="s">
        <v>1069</v>
      </c>
      <c r="BK553" t="s">
        <v>97</v>
      </c>
      <c r="BL553" t="s">
        <v>1069</v>
      </c>
      <c r="BM553" t="s">
        <v>8671</v>
      </c>
      <c r="BN553" t="s">
        <v>74</v>
      </c>
      <c r="BO553" t="s">
        <v>460</v>
      </c>
      <c r="BP553" t="s">
        <v>74</v>
      </c>
      <c r="BQ553" t="s">
        <v>74</v>
      </c>
      <c r="BR553" t="s">
        <v>100</v>
      </c>
      <c r="BS553" t="s">
        <v>8672</v>
      </c>
      <c r="BT553" t="str">
        <f>HYPERLINK("https%3A%2F%2Fwww.webofscience.com%2Fwos%2Fwoscc%2Ffull-record%2FWOS:000237887100006","View Full Record in Web of Science")</f>
        <v>View Full Record in Web of Science</v>
      </c>
    </row>
    <row r="554" spans="1:72" x14ac:dyDescent="0.15">
      <c r="A554" t="s">
        <v>72</v>
      </c>
      <c r="B554" t="s">
        <v>8673</v>
      </c>
      <c r="C554" t="s">
        <v>74</v>
      </c>
      <c r="D554" t="s">
        <v>74</v>
      </c>
      <c r="E554" t="s">
        <v>74</v>
      </c>
      <c r="F554" t="s">
        <v>8673</v>
      </c>
      <c r="G554" t="s">
        <v>74</v>
      </c>
      <c r="H554" t="s">
        <v>74</v>
      </c>
      <c r="I554" t="s">
        <v>8674</v>
      </c>
      <c r="J554" t="s">
        <v>5392</v>
      </c>
      <c r="K554" t="s">
        <v>74</v>
      </c>
      <c r="L554" t="s">
        <v>74</v>
      </c>
      <c r="M554" t="s">
        <v>78</v>
      </c>
      <c r="N554" t="s">
        <v>79</v>
      </c>
      <c r="O554" t="s">
        <v>74</v>
      </c>
      <c r="P554" t="s">
        <v>74</v>
      </c>
      <c r="Q554" t="s">
        <v>74</v>
      </c>
      <c r="R554" t="s">
        <v>74</v>
      </c>
      <c r="S554" t="s">
        <v>74</v>
      </c>
      <c r="T554" t="s">
        <v>74</v>
      </c>
      <c r="U554" t="s">
        <v>8675</v>
      </c>
      <c r="V554" t="s">
        <v>8676</v>
      </c>
      <c r="W554" t="s">
        <v>8677</v>
      </c>
      <c r="X554" t="s">
        <v>8678</v>
      </c>
      <c r="Y554" t="s">
        <v>7528</v>
      </c>
      <c r="Z554" t="s">
        <v>8679</v>
      </c>
      <c r="AA554" t="s">
        <v>74</v>
      </c>
      <c r="AB554" t="s">
        <v>8680</v>
      </c>
      <c r="AC554" t="s">
        <v>1550</v>
      </c>
      <c r="AD554" t="s">
        <v>1328</v>
      </c>
      <c r="AE554" t="s">
        <v>74</v>
      </c>
      <c r="AF554" t="s">
        <v>74</v>
      </c>
      <c r="AG554">
        <v>37</v>
      </c>
      <c r="AH554">
        <v>12</v>
      </c>
      <c r="AI554">
        <v>14</v>
      </c>
      <c r="AJ554">
        <v>1</v>
      </c>
      <c r="AK554">
        <v>20</v>
      </c>
      <c r="AL554" t="s">
        <v>580</v>
      </c>
      <c r="AM554" t="s">
        <v>388</v>
      </c>
      <c r="AN554" t="s">
        <v>581</v>
      </c>
      <c r="AO554" t="s">
        <v>5401</v>
      </c>
      <c r="AP554" t="s">
        <v>8681</v>
      </c>
      <c r="AQ554" t="s">
        <v>74</v>
      </c>
      <c r="AR554" t="s">
        <v>5402</v>
      </c>
      <c r="AS554" t="s">
        <v>5403</v>
      </c>
      <c r="AT554" t="s">
        <v>8038</v>
      </c>
      <c r="AU554">
        <v>2006</v>
      </c>
      <c r="AV554">
        <v>28</v>
      </c>
      <c r="AW554">
        <v>4</v>
      </c>
      <c r="AX554" t="s">
        <v>74</v>
      </c>
      <c r="AY554" t="s">
        <v>74</v>
      </c>
      <c r="AZ554" t="s">
        <v>74</v>
      </c>
      <c r="BA554" t="s">
        <v>74</v>
      </c>
      <c r="BB554">
        <v>419</v>
      </c>
      <c r="BC554">
        <v>427</v>
      </c>
      <c r="BD554" t="s">
        <v>74</v>
      </c>
      <c r="BE554" t="s">
        <v>8682</v>
      </c>
      <c r="BF554" t="str">
        <f>HYPERLINK("http://dx.doi.org/10.1093/plankt/fbi130","http://dx.doi.org/10.1093/plankt/fbi130")</f>
        <v>http://dx.doi.org/10.1093/plankt/fbi130</v>
      </c>
      <c r="BG554" t="s">
        <v>74</v>
      </c>
      <c r="BH554" t="s">
        <v>74</v>
      </c>
      <c r="BI554">
        <v>9</v>
      </c>
      <c r="BJ554" t="s">
        <v>3284</v>
      </c>
      <c r="BK554" t="s">
        <v>97</v>
      </c>
      <c r="BL554" t="s">
        <v>3284</v>
      </c>
      <c r="BM554" t="s">
        <v>8683</v>
      </c>
      <c r="BN554" t="s">
        <v>74</v>
      </c>
      <c r="BO554" t="s">
        <v>460</v>
      </c>
      <c r="BP554" t="s">
        <v>74</v>
      </c>
      <c r="BQ554" t="s">
        <v>74</v>
      </c>
      <c r="BR554" t="s">
        <v>100</v>
      </c>
      <c r="BS554" t="s">
        <v>8684</v>
      </c>
      <c r="BT554" t="str">
        <f>HYPERLINK("https%3A%2F%2Fwww.webofscience.com%2Fwos%2Fwoscc%2Ffull-record%2FWOS:000236254200008","View Full Record in Web of Science")</f>
        <v>View Full Record in Web of Science</v>
      </c>
    </row>
    <row r="555" spans="1:72" x14ac:dyDescent="0.15">
      <c r="A555" t="s">
        <v>72</v>
      </c>
      <c r="B555" t="s">
        <v>8685</v>
      </c>
      <c r="C555" t="s">
        <v>74</v>
      </c>
      <c r="D555" t="s">
        <v>74</v>
      </c>
      <c r="E555" t="s">
        <v>74</v>
      </c>
      <c r="F555" t="s">
        <v>8686</v>
      </c>
      <c r="G555" t="s">
        <v>74</v>
      </c>
      <c r="H555" t="s">
        <v>74</v>
      </c>
      <c r="I555" t="s">
        <v>8687</v>
      </c>
      <c r="J555" t="s">
        <v>8688</v>
      </c>
      <c r="K555" t="s">
        <v>74</v>
      </c>
      <c r="L555" t="s">
        <v>74</v>
      </c>
      <c r="M555" t="s">
        <v>78</v>
      </c>
      <c r="N555" t="s">
        <v>79</v>
      </c>
      <c r="O555" t="s">
        <v>74</v>
      </c>
      <c r="P555" t="s">
        <v>74</v>
      </c>
      <c r="Q555" t="s">
        <v>74</v>
      </c>
      <c r="R555" t="s">
        <v>74</v>
      </c>
      <c r="S555" t="s">
        <v>74</v>
      </c>
      <c r="T555" t="s">
        <v>8689</v>
      </c>
      <c r="U555" t="s">
        <v>8690</v>
      </c>
      <c r="V555" t="s">
        <v>8691</v>
      </c>
      <c r="W555" t="s">
        <v>8692</v>
      </c>
      <c r="X555" t="s">
        <v>8693</v>
      </c>
      <c r="Y555" t="s">
        <v>8694</v>
      </c>
      <c r="Z555" t="s">
        <v>8695</v>
      </c>
      <c r="AA555" t="s">
        <v>74</v>
      </c>
      <c r="AB555" t="s">
        <v>74</v>
      </c>
      <c r="AC555" t="s">
        <v>74</v>
      </c>
      <c r="AD555" t="s">
        <v>74</v>
      </c>
      <c r="AE555" t="s">
        <v>74</v>
      </c>
      <c r="AF555" t="s">
        <v>74</v>
      </c>
      <c r="AG555">
        <v>41</v>
      </c>
      <c r="AH555">
        <v>39</v>
      </c>
      <c r="AI555">
        <v>44</v>
      </c>
      <c r="AJ555">
        <v>1</v>
      </c>
      <c r="AK555">
        <v>15</v>
      </c>
      <c r="AL555" t="s">
        <v>8696</v>
      </c>
      <c r="AM555" t="s">
        <v>8607</v>
      </c>
      <c r="AN555" t="s">
        <v>8697</v>
      </c>
      <c r="AO555" t="s">
        <v>8698</v>
      </c>
      <c r="AP555" t="s">
        <v>8699</v>
      </c>
      <c r="AQ555" t="s">
        <v>74</v>
      </c>
      <c r="AR555" t="s">
        <v>8700</v>
      </c>
      <c r="AS555" t="s">
        <v>8701</v>
      </c>
      <c r="AT555" t="s">
        <v>8038</v>
      </c>
      <c r="AU555">
        <v>2006</v>
      </c>
      <c r="AV555">
        <v>42</v>
      </c>
      <c r="AW555">
        <v>2</v>
      </c>
      <c r="AX555" t="s">
        <v>74</v>
      </c>
      <c r="AY555" t="s">
        <v>74</v>
      </c>
      <c r="AZ555" t="s">
        <v>74</v>
      </c>
      <c r="BA555" t="s">
        <v>74</v>
      </c>
      <c r="BB555">
        <v>259</v>
      </c>
      <c r="BC555">
        <v>270</v>
      </c>
      <c r="BD555" t="s">
        <v>74</v>
      </c>
      <c r="BE555" t="s">
        <v>8702</v>
      </c>
      <c r="BF555" t="str">
        <f>HYPERLINK("http://dx.doi.org/10.7589/0090-3558-42.2.259","http://dx.doi.org/10.7589/0090-3558-42.2.259")</f>
        <v>http://dx.doi.org/10.7589/0090-3558-42.2.259</v>
      </c>
      <c r="BG555" t="s">
        <v>74</v>
      </c>
      <c r="BH555" t="s">
        <v>74</v>
      </c>
      <c r="BI555">
        <v>12</v>
      </c>
      <c r="BJ555" t="s">
        <v>8703</v>
      </c>
      <c r="BK555" t="s">
        <v>97</v>
      </c>
      <c r="BL555" t="s">
        <v>8703</v>
      </c>
      <c r="BM555" t="s">
        <v>8704</v>
      </c>
      <c r="BN555">
        <v>16870848</v>
      </c>
      <c r="BO555" t="s">
        <v>8705</v>
      </c>
      <c r="BP555" t="s">
        <v>74</v>
      </c>
      <c r="BQ555" t="s">
        <v>74</v>
      </c>
      <c r="BR555" t="s">
        <v>100</v>
      </c>
      <c r="BS555" t="s">
        <v>8706</v>
      </c>
      <c r="BT555" t="str">
        <f>HYPERLINK("https%3A%2F%2Fwww.webofscience.com%2Fwos%2Fwoscc%2Ffull-record%2FWOS:000239580000005","View Full Record in Web of Science")</f>
        <v>View Full Record in Web of Science</v>
      </c>
    </row>
    <row r="556" spans="1:72" x14ac:dyDescent="0.15">
      <c r="A556" t="s">
        <v>72</v>
      </c>
      <c r="B556" t="s">
        <v>8707</v>
      </c>
      <c r="C556" t="s">
        <v>74</v>
      </c>
      <c r="D556" t="s">
        <v>74</v>
      </c>
      <c r="E556" t="s">
        <v>74</v>
      </c>
      <c r="F556" t="s">
        <v>8707</v>
      </c>
      <c r="G556" t="s">
        <v>74</v>
      </c>
      <c r="H556" t="s">
        <v>74</v>
      </c>
      <c r="I556" t="s">
        <v>8708</v>
      </c>
      <c r="J556" t="s">
        <v>1340</v>
      </c>
      <c r="K556" t="s">
        <v>74</v>
      </c>
      <c r="L556" t="s">
        <v>74</v>
      </c>
      <c r="M556" t="s">
        <v>78</v>
      </c>
      <c r="N556" t="s">
        <v>79</v>
      </c>
      <c r="O556" t="s">
        <v>74</v>
      </c>
      <c r="P556" t="s">
        <v>74</v>
      </c>
      <c r="Q556" t="s">
        <v>74</v>
      </c>
      <c r="R556" t="s">
        <v>74</v>
      </c>
      <c r="S556" t="s">
        <v>74</v>
      </c>
      <c r="T556" t="s">
        <v>74</v>
      </c>
      <c r="U556" t="s">
        <v>8709</v>
      </c>
      <c r="V556" t="s">
        <v>8710</v>
      </c>
      <c r="W556" t="s">
        <v>8711</v>
      </c>
      <c r="X556" t="s">
        <v>8712</v>
      </c>
      <c r="Y556" t="s">
        <v>8713</v>
      </c>
      <c r="Z556" t="s">
        <v>8714</v>
      </c>
      <c r="AA556" t="s">
        <v>74</v>
      </c>
      <c r="AB556" t="s">
        <v>74</v>
      </c>
      <c r="AC556" t="s">
        <v>74</v>
      </c>
      <c r="AD556" t="s">
        <v>74</v>
      </c>
      <c r="AE556" t="s">
        <v>74</v>
      </c>
      <c r="AF556" t="s">
        <v>74</v>
      </c>
      <c r="AG556">
        <v>38</v>
      </c>
      <c r="AH556">
        <v>3</v>
      </c>
      <c r="AI556">
        <v>3</v>
      </c>
      <c r="AJ556">
        <v>0</v>
      </c>
      <c r="AK556">
        <v>1</v>
      </c>
      <c r="AL556" t="s">
        <v>115</v>
      </c>
      <c r="AM556" t="s">
        <v>116</v>
      </c>
      <c r="AN556" t="s">
        <v>117</v>
      </c>
      <c r="AO556" t="s">
        <v>1347</v>
      </c>
      <c r="AP556" t="s">
        <v>1348</v>
      </c>
      <c r="AQ556" t="s">
        <v>74</v>
      </c>
      <c r="AR556" t="s">
        <v>1349</v>
      </c>
      <c r="AS556" t="s">
        <v>1350</v>
      </c>
      <c r="AT556" t="s">
        <v>8038</v>
      </c>
      <c r="AU556">
        <v>2006</v>
      </c>
      <c r="AV556">
        <v>41</v>
      </c>
      <c r="AW556">
        <v>4</v>
      </c>
      <c r="AX556" t="s">
        <v>74</v>
      </c>
      <c r="AY556" t="s">
        <v>74</v>
      </c>
      <c r="AZ556" t="s">
        <v>74</v>
      </c>
      <c r="BA556" t="s">
        <v>74</v>
      </c>
      <c r="BB556">
        <v>529</v>
      </c>
      <c r="BC556">
        <v>540</v>
      </c>
      <c r="BD556" t="s">
        <v>74</v>
      </c>
      <c r="BE556" t="s">
        <v>8715</v>
      </c>
      <c r="BF556" t="str">
        <f>HYPERLINK("http://dx.doi.org/10.1111/j.1945-5100.2006.tb00480.x","http://dx.doi.org/10.1111/j.1945-5100.2006.tb00480.x")</f>
        <v>http://dx.doi.org/10.1111/j.1945-5100.2006.tb00480.x</v>
      </c>
      <c r="BG556" t="s">
        <v>74</v>
      </c>
      <c r="BH556" t="s">
        <v>74</v>
      </c>
      <c r="BI556">
        <v>12</v>
      </c>
      <c r="BJ556" t="s">
        <v>608</v>
      </c>
      <c r="BK556" t="s">
        <v>97</v>
      </c>
      <c r="BL556" t="s">
        <v>608</v>
      </c>
      <c r="BM556" t="s">
        <v>8716</v>
      </c>
      <c r="BN556" t="s">
        <v>74</v>
      </c>
      <c r="BO556" t="s">
        <v>460</v>
      </c>
      <c r="BP556" t="s">
        <v>74</v>
      </c>
      <c r="BQ556" t="s">
        <v>74</v>
      </c>
      <c r="BR556" t="s">
        <v>100</v>
      </c>
      <c r="BS556" t="s">
        <v>8717</v>
      </c>
      <c r="BT556" t="str">
        <f>HYPERLINK("https%3A%2F%2Fwww.webofscience.com%2Fwos%2Fwoscc%2Ffull-record%2FWOS:000237212300004","View Full Record in Web of Science")</f>
        <v>View Full Record in Web of Science</v>
      </c>
    </row>
    <row r="557" spans="1:72" x14ac:dyDescent="0.15">
      <c r="A557" t="s">
        <v>72</v>
      </c>
      <c r="B557" t="s">
        <v>8718</v>
      </c>
      <c r="C557" t="s">
        <v>74</v>
      </c>
      <c r="D557" t="s">
        <v>74</v>
      </c>
      <c r="E557" t="s">
        <v>74</v>
      </c>
      <c r="F557" t="s">
        <v>8718</v>
      </c>
      <c r="G557" t="s">
        <v>74</v>
      </c>
      <c r="H557" t="s">
        <v>74</v>
      </c>
      <c r="I557" t="s">
        <v>8719</v>
      </c>
      <c r="J557" t="s">
        <v>1340</v>
      </c>
      <c r="K557" t="s">
        <v>74</v>
      </c>
      <c r="L557" t="s">
        <v>74</v>
      </c>
      <c r="M557" t="s">
        <v>78</v>
      </c>
      <c r="N557" t="s">
        <v>79</v>
      </c>
      <c r="O557" t="s">
        <v>74</v>
      </c>
      <c r="P557" t="s">
        <v>74</v>
      </c>
      <c r="Q557" t="s">
        <v>74</v>
      </c>
      <c r="R557" t="s">
        <v>74</v>
      </c>
      <c r="S557" t="s">
        <v>74</v>
      </c>
      <c r="T557" t="s">
        <v>74</v>
      </c>
      <c r="U557" t="s">
        <v>8720</v>
      </c>
      <c r="V557" t="s">
        <v>8721</v>
      </c>
      <c r="W557" t="s">
        <v>8722</v>
      </c>
      <c r="X557" t="s">
        <v>8723</v>
      </c>
      <c r="Y557" t="s">
        <v>8724</v>
      </c>
      <c r="Z557" t="s">
        <v>8725</v>
      </c>
      <c r="AA557" t="s">
        <v>8726</v>
      </c>
      <c r="AB557" t="s">
        <v>8727</v>
      </c>
      <c r="AC557" t="s">
        <v>74</v>
      </c>
      <c r="AD557" t="s">
        <v>74</v>
      </c>
      <c r="AE557" t="s">
        <v>74</v>
      </c>
      <c r="AF557" t="s">
        <v>74</v>
      </c>
      <c r="AG557">
        <v>65</v>
      </c>
      <c r="AH557">
        <v>111</v>
      </c>
      <c r="AI557">
        <v>127</v>
      </c>
      <c r="AJ557">
        <v>0</v>
      </c>
      <c r="AK557">
        <v>23</v>
      </c>
      <c r="AL557" t="s">
        <v>1376</v>
      </c>
      <c r="AM557" t="s">
        <v>1377</v>
      </c>
      <c r="AN557" t="s">
        <v>1378</v>
      </c>
      <c r="AO557" t="s">
        <v>1347</v>
      </c>
      <c r="AP557" t="s">
        <v>74</v>
      </c>
      <c r="AQ557" t="s">
        <v>74</v>
      </c>
      <c r="AR557" t="s">
        <v>1349</v>
      </c>
      <c r="AS557" t="s">
        <v>1350</v>
      </c>
      <c r="AT557" t="s">
        <v>8038</v>
      </c>
      <c r="AU557">
        <v>2006</v>
      </c>
      <c r="AV557">
        <v>41</v>
      </c>
      <c r="AW557">
        <v>4</v>
      </c>
      <c r="AX557" t="s">
        <v>74</v>
      </c>
      <c r="AY557" t="s">
        <v>74</v>
      </c>
      <c r="AZ557" t="s">
        <v>74</v>
      </c>
      <c r="BA557" t="s">
        <v>74</v>
      </c>
      <c r="BB557">
        <v>581</v>
      </c>
      <c r="BC557">
        <v>606</v>
      </c>
      <c r="BD557" t="s">
        <v>74</v>
      </c>
      <c r="BE557" t="s">
        <v>8728</v>
      </c>
      <c r="BF557" t="str">
        <f>HYPERLINK("http://dx.doi.org/10.1111/j.1945-5100.2006.tb00484.x","http://dx.doi.org/10.1111/j.1945-5100.2006.tb00484.x")</f>
        <v>http://dx.doi.org/10.1111/j.1945-5100.2006.tb00484.x</v>
      </c>
      <c r="BG557" t="s">
        <v>74</v>
      </c>
      <c r="BH557" t="s">
        <v>74</v>
      </c>
      <c r="BI557">
        <v>26</v>
      </c>
      <c r="BJ557" t="s">
        <v>608</v>
      </c>
      <c r="BK557" t="s">
        <v>97</v>
      </c>
      <c r="BL557" t="s">
        <v>608</v>
      </c>
      <c r="BM557" t="s">
        <v>8716</v>
      </c>
      <c r="BN557" t="s">
        <v>74</v>
      </c>
      <c r="BO557" t="s">
        <v>460</v>
      </c>
      <c r="BP557" t="s">
        <v>74</v>
      </c>
      <c r="BQ557" t="s">
        <v>74</v>
      </c>
      <c r="BR557" t="s">
        <v>100</v>
      </c>
      <c r="BS557" t="s">
        <v>8729</v>
      </c>
      <c r="BT557" t="str">
        <f>HYPERLINK("https%3A%2F%2Fwww.webofscience.com%2Fwos%2Fwoscc%2Ffull-record%2FWOS:000237212300008","View Full Record in Web of Science")</f>
        <v>View Full Record in Web of Science</v>
      </c>
    </row>
    <row r="558" spans="1:72" x14ac:dyDescent="0.15">
      <c r="A558" t="s">
        <v>72</v>
      </c>
      <c r="B558" t="s">
        <v>8730</v>
      </c>
      <c r="C558" t="s">
        <v>74</v>
      </c>
      <c r="D558" t="s">
        <v>74</v>
      </c>
      <c r="E558" t="s">
        <v>74</v>
      </c>
      <c r="F558" t="s">
        <v>8730</v>
      </c>
      <c r="G558" t="s">
        <v>74</v>
      </c>
      <c r="H558" t="s">
        <v>74</v>
      </c>
      <c r="I558" t="s">
        <v>8731</v>
      </c>
      <c r="J558" t="s">
        <v>8732</v>
      </c>
      <c r="K558" t="s">
        <v>74</v>
      </c>
      <c r="L558" t="s">
        <v>74</v>
      </c>
      <c r="M558" t="s">
        <v>78</v>
      </c>
      <c r="N558" t="s">
        <v>79</v>
      </c>
      <c r="O558" t="s">
        <v>74</v>
      </c>
      <c r="P558" t="s">
        <v>74</v>
      </c>
      <c r="Q558" t="s">
        <v>74</v>
      </c>
      <c r="R558" t="s">
        <v>74</v>
      </c>
      <c r="S558" t="s">
        <v>74</v>
      </c>
      <c r="T558" t="s">
        <v>8733</v>
      </c>
      <c r="U558" t="s">
        <v>8734</v>
      </c>
      <c r="V558" t="s">
        <v>8735</v>
      </c>
      <c r="W558" t="s">
        <v>8736</v>
      </c>
      <c r="X558" t="s">
        <v>8737</v>
      </c>
      <c r="Y558" t="s">
        <v>8738</v>
      </c>
      <c r="Z558" t="s">
        <v>8739</v>
      </c>
      <c r="AA558" t="s">
        <v>8740</v>
      </c>
      <c r="AB558" t="s">
        <v>8741</v>
      </c>
      <c r="AC558" t="s">
        <v>74</v>
      </c>
      <c r="AD558" t="s">
        <v>74</v>
      </c>
      <c r="AE558" t="s">
        <v>74</v>
      </c>
      <c r="AF558" t="s">
        <v>74</v>
      </c>
      <c r="AG558">
        <v>35</v>
      </c>
      <c r="AH558">
        <v>13</v>
      </c>
      <c r="AI558">
        <v>15</v>
      </c>
      <c r="AJ558">
        <v>0</v>
      </c>
      <c r="AK558">
        <v>10</v>
      </c>
      <c r="AL558" t="s">
        <v>1009</v>
      </c>
      <c r="AM558" t="s">
        <v>1010</v>
      </c>
      <c r="AN558" t="s">
        <v>1011</v>
      </c>
      <c r="AO558" t="s">
        <v>8742</v>
      </c>
      <c r="AP558" t="s">
        <v>8743</v>
      </c>
      <c r="AQ558" t="s">
        <v>74</v>
      </c>
      <c r="AR558" t="s">
        <v>8744</v>
      </c>
      <c r="AS558" t="s">
        <v>8745</v>
      </c>
      <c r="AT558" t="s">
        <v>8038</v>
      </c>
      <c r="AU558">
        <v>2006</v>
      </c>
      <c r="AV558">
        <v>275</v>
      </c>
      <c r="AW558">
        <v>4</v>
      </c>
      <c r="AX558" t="s">
        <v>74</v>
      </c>
      <c r="AY558" t="s">
        <v>74</v>
      </c>
      <c r="AZ558" t="s">
        <v>74</v>
      </c>
      <c r="BA558" t="s">
        <v>74</v>
      </c>
      <c r="BB558">
        <v>387</v>
      </c>
      <c r="BC558">
        <v>398</v>
      </c>
      <c r="BD558" t="s">
        <v>74</v>
      </c>
      <c r="BE558" t="s">
        <v>8746</v>
      </c>
      <c r="BF558" t="str">
        <f>HYPERLINK("http://dx.doi.org/10.1007/s00438-005-0094-4","http://dx.doi.org/10.1007/s00438-005-0094-4")</f>
        <v>http://dx.doi.org/10.1007/s00438-005-0094-4</v>
      </c>
      <c r="BG558" t="s">
        <v>74</v>
      </c>
      <c r="BH558" t="s">
        <v>74</v>
      </c>
      <c r="BI558">
        <v>12</v>
      </c>
      <c r="BJ558" t="s">
        <v>8747</v>
      </c>
      <c r="BK558" t="s">
        <v>97</v>
      </c>
      <c r="BL558" t="s">
        <v>8747</v>
      </c>
      <c r="BM558" t="s">
        <v>8748</v>
      </c>
      <c r="BN558">
        <v>16425016</v>
      </c>
      <c r="BO558" t="s">
        <v>74</v>
      </c>
      <c r="BP558" t="s">
        <v>74</v>
      </c>
      <c r="BQ558" t="s">
        <v>74</v>
      </c>
      <c r="BR558" t="s">
        <v>100</v>
      </c>
      <c r="BS558" t="s">
        <v>8749</v>
      </c>
      <c r="BT558" t="str">
        <f>HYPERLINK("https%3A%2F%2Fwww.webofscience.com%2Fwos%2Fwoscc%2Ffull-record%2FWOS:000236842000007","View Full Record in Web of Science")</f>
        <v>View Full Record in Web of Science</v>
      </c>
    </row>
    <row r="559" spans="1:72" x14ac:dyDescent="0.15">
      <c r="A559" t="s">
        <v>72</v>
      </c>
      <c r="B559" t="s">
        <v>8750</v>
      </c>
      <c r="C559" t="s">
        <v>74</v>
      </c>
      <c r="D559" t="s">
        <v>74</v>
      </c>
      <c r="E559" t="s">
        <v>74</v>
      </c>
      <c r="F559" t="s">
        <v>8750</v>
      </c>
      <c r="G559" t="s">
        <v>74</v>
      </c>
      <c r="H559" t="s">
        <v>74</v>
      </c>
      <c r="I559" t="s">
        <v>8751</v>
      </c>
      <c r="J559" t="s">
        <v>8752</v>
      </c>
      <c r="K559" t="s">
        <v>74</v>
      </c>
      <c r="L559" t="s">
        <v>74</v>
      </c>
      <c r="M559" t="s">
        <v>78</v>
      </c>
      <c r="N559" t="s">
        <v>79</v>
      </c>
      <c r="O559" t="s">
        <v>74</v>
      </c>
      <c r="P559" t="s">
        <v>74</v>
      </c>
      <c r="Q559" t="s">
        <v>74</v>
      </c>
      <c r="R559" t="s">
        <v>74</v>
      </c>
      <c r="S559" t="s">
        <v>74</v>
      </c>
      <c r="T559" t="s">
        <v>8753</v>
      </c>
      <c r="U559" t="s">
        <v>8754</v>
      </c>
      <c r="V559" t="s">
        <v>8755</v>
      </c>
      <c r="W559" t="s">
        <v>8756</v>
      </c>
      <c r="X559" t="s">
        <v>8757</v>
      </c>
      <c r="Y559" t="s">
        <v>8758</v>
      </c>
      <c r="Z559" t="s">
        <v>8759</v>
      </c>
      <c r="AA559" t="s">
        <v>74</v>
      </c>
      <c r="AB559" t="s">
        <v>8760</v>
      </c>
      <c r="AC559" t="s">
        <v>74</v>
      </c>
      <c r="AD559" t="s">
        <v>74</v>
      </c>
      <c r="AE559" t="s">
        <v>74</v>
      </c>
      <c r="AF559" t="s">
        <v>74</v>
      </c>
      <c r="AG559">
        <v>42</v>
      </c>
      <c r="AH559">
        <v>50</v>
      </c>
      <c r="AI559">
        <v>55</v>
      </c>
      <c r="AJ559">
        <v>0</v>
      </c>
      <c r="AK559">
        <v>3</v>
      </c>
      <c r="AL559" t="s">
        <v>387</v>
      </c>
      <c r="AM559" t="s">
        <v>388</v>
      </c>
      <c r="AN559" t="s">
        <v>389</v>
      </c>
      <c r="AO559" t="s">
        <v>8761</v>
      </c>
      <c r="AP559" t="s">
        <v>74</v>
      </c>
      <c r="AQ559" t="s">
        <v>74</v>
      </c>
      <c r="AR559" t="s">
        <v>8762</v>
      </c>
      <c r="AS559" t="s">
        <v>8763</v>
      </c>
      <c r="AT559" t="s">
        <v>8038</v>
      </c>
      <c r="AU559">
        <v>2006</v>
      </c>
      <c r="AV559">
        <v>54</v>
      </c>
      <c r="AW559">
        <v>4</v>
      </c>
      <c r="AX559" t="s">
        <v>74</v>
      </c>
      <c r="AY559" t="s">
        <v>74</v>
      </c>
      <c r="AZ559" t="s">
        <v>74</v>
      </c>
      <c r="BA559" t="s">
        <v>74</v>
      </c>
      <c r="BB559">
        <v>370</v>
      </c>
      <c r="BC559">
        <v>378</v>
      </c>
      <c r="BD559" t="s">
        <v>74</v>
      </c>
      <c r="BE559" t="s">
        <v>8764</v>
      </c>
      <c r="BF559" t="str">
        <f>HYPERLINK("http://dx.doi.org/10.1016/j.pss.2005.12.011","http://dx.doi.org/10.1016/j.pss.2005.12.011")</f>
        <v>http://dx.doi.org/10.1016/j.pss.2005.12.011</v>
      </c>
      <c r="BG559" t="s">
        <v>74</v>
      </c>
      <c r="BH559" t="s">
        <v>74</v>
      </c>
      <c r="BI559">
        <v>9</v>
      </c>
      <c r="BJ559" t="s">
        <v>1637</v>
      </c>
      <c r="BK559" t="s">
        <v>97</v>
      </c>
      <c r="BL559" t="s">
        <v>1637</v>
      </c>
      <c r="BM559" t="s">
        <v>8765</v>
      </c>
      <c r="BN559" t="s">
        <v>74</v>
      </c>
      <c r="BO559" t="s">
        <v>74</v>
      </c>
      <c r="BP559" t="s">
        <v>74</v>
      </c>
      <c r="BQ559" t="s">
        <v>74</v>
      </c>
      <c r="BR559" t="s">
        <v>100</v>
      </c>
      <c r="BS559" t="s">
        <v>8766</v>
      </c>
      <c r="BT559" t="str">
        <f>HYPERLINK("https%3A%2F%2Fwww.webofscience.com%2Fwos%2Fwoscc%2Ffull-record%2FWOS:000236827800006","View Full Record in Web of Science")</f>
        <v>View Full Record in Web of Science</v>
      </c>
    </row>
    <row r="560" spans="1:72" x14ac:dyDescent="0.15">
      <c r="A560" t="s">
        <v>72</v>
      </c>
      <c r="B560" t="s">
        <v>8767</v>
      </c>
      <c r="C560" t="s">
        <v>74</v>
      </c>
      <c r="D560" t="s">
        <v>74</v>
      </c>
      <c r="E560" t="s">
        <v>74</v>
      </c>
      <c r="F560" t="s">
        <v>8767</v>
      </c>
      <c r="G560" t="s">
        <v>74</v>
      </c>
      <c r="H560" t="s">
        <v>74</v>
      </c>
      <c r="I560" t="s">
        <v>8768</v>
      </c>
      <c r="J560" t="s">
        <v>1511</v>
      </c>
      <c r="K560" t="s">
        <v>74</v>
      </c>
      <c r="L560" t="s">
        <v>74</v>
      </c>
      <c r="M560" t="s">
        <v>78</v>
      </c>
      <c r="N560" t="s">
        <v>79</v>
      </c>
      <c r="O560" t="s">
        <v>74</v>
      </c>
      <c r="P560" t="s">
        <v>74</v>
      </c>
      <c r="Q560" t="s">
        <v>74</v>
      </c>
      <c r="R560" t="s">
        <v>74</v>
      </c>
      <c r="S560" t="s">
        <v>74</v>
      </c>
      <c r="T560" t="s">
        <v>8769</v>
      </c>
      <c r="U560" t="s">
        <v>8770</v>
      </c>
      <c r="V560" t="s">
        <v>8771</v>
      </c>
      <c r="W560" t="s">
        <v>8772</v>
      </c>
      <c r="X560" t="s">
        <v>3542</v>
      </c>
      <c r="Y560" t="s">
        <v>8773</v>
      </c>
      <c r="Z560" t="s">
        <v>8774</v>
      </c>
      <c r="AA560" t="s">
        <v>74</v>
      </c>
      <c r="AB560" t="s">
        <v>74</v>
      </c>
      <c r="AC560" t="s">
        <v>74</v>
      </c>
      <c r="AD560" t="s">
        <v>74</v>
      </c>
      <c r="AE560" t="s">
        <v>74</v>
      </c>
      <c r="AF560" t="s">
        <v>74</v>
      </c>
      <c r="AG560">
        <v>41</v>
      </c>
      <c r="AH560">
        <v>10</v>
      </c>
      <c r="AI560">
        <v>11</v>
      </c>
      <c r="AJ560">
        <v>0</v>
      </c>
      <c r="AK560">
        <v>10</v>
      </c>
      <c r="AL560" t="s">
        <v>994</v>
      </c>
      <c r="AM560" t="s">
        <v>476</v>
      </c>
      <c r="AN560" t="s">
        <v>1551</v>
      </c>
      <c r="AO560" t="s">
        <v>1520</v>
      </c>
      <c r="AP560" t="s">
        <v>1521</v>
      </c>
      <c r="AQ560" t="s">
        <v>74</v>
      </c>
      <c r="AR560" t="s">
        <v>1522</v>
      </c>
      <c r="AS560" t="s">
        <v>1523</v>
      </c>
      <c r="AT560" t="s">
        <v>8038</v>
      </c>
      <c r="AU560">
        <v>2006</v>
      </c>
      <c r="AV560">
        <v>29</v>
      </c>
      <c r="AW560">
        <v>5</v>
      </c>
      <c r="AX560" t="s">
        <v>74</v>
      </c>
      <c r="AY560" t="s">
        <v>74</v>
      </c>
      <c r="AZ560" t="s">
        <v>74</v>
      </c>
      <c r="BA560" t="s">
        <v>74</v>
      </c>
      <c r="BB560">
        <v>364</v>
      </c>
      <c r="BC560">
        <v>371</v>
      </c>
      <c r="BD560" t="s">
        <v>74</v>
      </c>
      <c r="BE560" t="s">
        <v>8775</v>
      </c>
      <c r="BF560" t="str">
        <f>HYPERLINK("http://dx.doi.org/10.1007/s00300-005-0065-6","http://dx.doi.org/10.1007/s00300-005-0065-6")</f>
        <v>http://dx.doi.org/10.1007/s00300-005-0065-6</v>
      </c>
      <c r="BG560" t="s">
        <v>74</v>
      </c>
      <c r="BH560" t="s">
        <v>74</v>
      </c>
      <c r="BI560">
        <v>8</v>
      </c>
      <c r="BJ560" t="s">
        <v>1525</v>
      </c>
      <c r="BK560" t="s">
        <v>97</v>
      </c>
      <c r="BL560" t="s">
        <v>1526</v>
      </c>
      <c r="BM560" t="s">
        <v>8776</v>
      </c>
      <c r="BN560" t="s">
        <v>74</v>
      </c>
      <c r="BO560" t="s">
        <v>74</v>
      </c>
      <c r="BP560" t="s">
        <v>74</v>
      </c>
      <c r="BQ560" t="s">
        <v>74</v>
      </c>
      <c r="BR560" t="s">
        <v>100</v>
      </c>
      <c r="BS560" t="s">
        <v>8777</v>
      </c>
      <c r="BT560" t="str">
        <f>HYPERLINK("https%3A%2F%2Fwww.webofscience.com%2Fwos%2Fwoscc%2Ffull-record%2FWOS:000236417000003","View Full Record in Web of Science")</f>
        <v>View Full Record in Web of Science</v>
      </c>
    </row>
    <row r="561" spans="1:72" x14ac:dyDescent="0.15">
      <c r="A561" t="s">
        <v>72</v>
      </c>
      <c r="B561" t="s">
        <v>8778</v>
      </c>
      <c r="C561" t="s">
        <v>74</v>
      </c>
      <c r="D561" t="s">
        <v>74</v>
      </c>
      <c r="E561" t="s">
        <v>74</v>
      </c>
      <c r="F561" t="s">
        <v>8778</v>
      </c>
      <c r="G561" t="s">
        <v>74</v>
      </c>
      <c r="H561" t="s">
        <v>74</v>
      </c>
      <c r="I561" t="s">
        <v>8779</v>
      </c>
      <c r="J561" t="s">
        <v>1511</v>
      </c>
      <c r="K561" t="s">
        <v>74</v>
      </c>
      <c r="L561" t="s">
        <v>74</v>
      </c>
      <c r="M561" t="s">
        <v>78</v>
      </c>
      <c r="N561" t="s">
        <v>79</v>
      </c>
      <c r="O561" t="s">
        <v>74</v>
      </c>
      <c r="P561" t="s">
        <v>74</v>
      </c>
      <c r="Q561" t="s">
        <v>74</v>
      </c>
      <c r="R561" t="s">
        <v>74</v>
      </c>
      <c r="S561" t="s">
        <v>74</v>
      </c>
      <c r="T561" t="s">
        <v>74</v>
      </c>
      <c r="U561" t="s">
        <v>74</v>
      </c>
      <c r="V561" t="s">
        <v>8780</v>
      </c>
      <c r="W561" t="s">
        <v>8781</v>
      </c>
      <c r="X561" t="s">
        <v>4504</v>
      </c>
      <c r="Y561" t="s">
        <v>8782</v>
      </c>
      <c r="Z561" t="s">
        <v>8783</v>
      </c>
      <c r="AA561" t="s">
        <v>8784</v>
      </c>
      <c r="AB561" t="s">
        <v>8785</v>
      </c>
      <c r="AC561" t="s">
        <v>74</v>
      </c>
      <c r="AD561" t="s">
        <v>74</v>
      </c>
      <c r="AE561" t="s">
        <v>74</v>
      </c>
      <c r="AF561" t="s">
        <v>74</v>
      </c>
      <c r="AG561">
        <v>31</v>
      </c>
      <c r="AH561">
        <v>11</v>
      </c>
      <c r="AI561">
        <v>15</v>
      </c>
      <c r="AJ561">
        <v>0</v>
      </c>
      <c r="AK561">
        <v>3</v>
      </c>
      <c r="AL561" t="s">
        <v>994</v>
      </c>
      <c r="AM561" t="s">
        <v>476</v>
      </c>
      <c r="AN561" t="s">
        <v>1519</v>
      </c>
      <c r="AO561" t="s">
        <v>1520</v>
      </c>
      <c r="AP561" t="s">
        <v>1521</v>
      </c>
      <c r="AQ561" t="s">
        <v>74</v>
      </c>
      <c r="AR561" t="s">
        <v>1522</v>
      </c>
      <c r="AS561" t="s">
        <v>1523</v>
      </c>
      <c r="AT561" t="s">
        <v>8038</v>
      </c>
      <c r="AU561">
        <v>2006</v>
      </c>
      <c r="AV561">
        <v>29</v>
      </c>
      <c r="AW561">
        <v>5</v>
      </c>
      <c r="AX561" t="s">
        <v>74</v>
      </c>
      <c r="AY561" t="s">
        <v>74</v>
      </c>
      <c r="AZ561" t="s">
        <v>74</v>
      </c>
      <c r="BA561" t="s">
        <v>74</v>
      </c>
      <c r="BB561">
        <v>389</v>
      </c>
      <c r="BC561">
        <v>398</v>
      </c>
      <c r="BD561" t="s">
        <v>74</v>
      </c>
      <c r="BE561" t="s">
        <v>8786</v>
      </c>
      <c r="BF561" t="str">
        <f>HYPERLINK("http://dx.doi.org/10.1007/s00300-005-0068-3","http://dx.doi.org/10.1007/s00300-005-0068-3")</f>
        <v>http://dx.doi.org/10.1007/s00300-005-0068-3</v>
      </c>
      <c r="BG561" t="s">
        <v>74</v>
      </c>
      <c r="BH561" t="s">
        <v>74</v>
      </c>
      <c r="BI561">
        <v>10</v>
      </c>
      <c r="BJ561" t="s">
        <v>1525</v>
      </c>
      <c r="BK561" t="s">
        <v>97</v>
      </c>
      <c r="BL561" t="s">
        <v>1526</v>
      </c>
      <c r="BM561" t="s">
        <v>8776</v>
      </c>
      <c r="BN561" t="s">
        <v>74</v>
      </c>
      <c r="BO561" t="s">
        <v>74</v>
      </c>
      <c r="BP561" t="s">
        <v>74</v>
      </c>
      <c r="BQ561" t="s">
        <v>74</v>
      </c>
      <c r="BR561" t="s">
        <v>100</v>
      </c>
      <c r="BS561" t="s">
        <v>8787</v>
      </c>
      <c r="BT561" t="str">
        <f>HYPERLINK("https%3A%2F%2Fwww.webofscience.com%2Fwos%2Fwoscc%2Ffull-record%2FWOS:000236417000006","View Full Record in Web of Science")</f>
        <v>View Full Record in Web of Science</v>
      </c>
    </row>
    <row r="562" spans="1:72" x14ac:dyDescent="0.15">
      <c r="A562" t="s">
        <v>72</v>
      </c>
      <c r="B562" t="s">
        <v>8788</v>
      </c>
      <c r="C562" t="s">
        <v>74</v>
      </c>
      <c r="D562" t="s">
        <v>74</v>
      </c>
      <c r="E562" t="s">
        <v>74</v>
      </c>
      <c r="F562" t="s">
        <v>8788</v>
      </c>
      <c r="G562" t="s">
        <v>74</v>
      </c>
      <c r="H562" t="s">
        <v>74</v>
      </c>
      <c r="I562" t="s">
        <v>8789</v>
      </c>
      <c r="J562" t="s">
        <v>1511</v>
      </c>
      <c r="K562" t="s">
        <v>74</v>
      </c>
      <c r="L562" t="s">
        <v>74</v>
      </c>
      <c r="M562" t="s">
        <v>78</v>
      </c>
      <c r="N562" t="s">
        <v>79</v>
      </c>
      <c r="O562" t="s">
        <v>74</v>
      </c>
      <c r="P562" t="s">
        <v>74</v>
      </c>
      <c r="Q562" t="s">
        <v>74</v>
      </c>
      <c r="R562" t="s">
        <v>74</v>
      </c>
      <c r="S562" t="s">
        <v>74</v>
      </c>
      <c r="T562" t="s">
        <v>74</v>
      </c>
      <c r="U562" t="s">
        <v>8790</v>
      </c>
      <c r="V562" t="s">
        <v>8791</v>
      </c>
      <c r="W562" t="s">
        <v>8792</v>
      </c>
      <c r="X562" t="s">
        <v>8793</v>
      </c>
      <c r="Y562" t="s">
        <v>8794</v>
      </c>
      <c r="Z562" t="s">
        <v>8795</v>
      </c>
      <c r="AA562" t="s">
        <v>74</v>
      </c>
      <c r="AB562" t="s">
        <v>74</v>
      </c>
      <c r="AC562" t="s">
        <v>74</v>
      </c>
      <c r="AD562" t="s">
        <v>74</v>
      </c>
      <c r="AE562" t="s">
        <v>74</v>
      </c>
      <c r="AF562" t="s">
        <v>74</v>
      </c>
      <c r="AG562">
        <v>80</v>
      </c>
      <c r="AH562">
        <v>39</v>
      </c>
      <c r="AI562">
        <v>44</v>
      </c>
      <c r="AJ562">
        <v>0</v>
      </c>
      <c r="AK562">
        <v>31</v>
      </c>
      <c r="AL562" t="s">
        <v>994</v>
      </c>
      <c r="AM562" t="s">
        <v>476</v>
      </c>
      <c r="AN562" t="s">
        <v>1551</v>
      </c>
      <c r="AO562" t="s">
        <v>1520</v>
      </c>
      <c r="AP562" t="s">
        <v>1521</v>
      </c>
      <c r="AQ562" t="s">
        <v>74</v>
      </c>
      <c r="AR562" t="s">
        <v>1522</v>
      </c>
      <c r="AS562" t="s">
        <v>1523</v>
      </c>
      <c r="AT562" t="s">
        <v>8038</v>
      </c>
      <c r="AU562">
        <v>2006</v>
      </c>
      <c r="AV562">
        <v>29</v>
      </c>
      <c r="AW562">
        <v>5</v>
      </c>
      <c r="AX562" t="s">
        <v>74</v>
      </c>
      <c r="AY562" t="s">
        <v>74</v>
      </c>
      <c r="AZ562" t="s">
        <v>74</v>
      </c>
      <c r="BA562" t="s">
        <v>74</v>
      </c>
      <c r="BB562">
        <v>399</v>
      </c>
      <c r="BC562">
        <v>412</v>
      </c>
      <c r="BD562" t="s">
        <v>74</v>
      </c>
      <c r="BE562" t="s">
        <v>8796</v>
      </c>
      <c r="BF562" t="str">
        <f>HYPERLINK("http://dx.doi.org/10.1007/s00300-005-0070-9","http://dx.doi.org/10.1007/s00300-005-0070-9")</f>
        <v>http://dx.doi.org/10.1007/s00300-005-0070-9</v>
      </c>
      <c r="BG562" t="s">
        <v>74</v>
      </c>
      <c r="BH562" t="s">
        <v>74</v>
      </c>
      <c r="BI562">
        <v>14</v>
      </c>
      <c r="BJ562" t="s">
        <v>1525</v>
      </c>
      <c r="BK562" t="s">
        <v>97</v>
      </c>
      <c r="BL562" t="s">
        <v>1526</v>
      </c>
      <c r="BM562" t="s">
        <v>8776</v>
      </c>
      <c r="BN562" t="s">
        <v>74</v>
      </c>
      <c r="BO562" t="s">
        <v>147</v>
      </c>
      <c r="BP562" t="s">
        <v>74</v>
      </c>
      <c r="BQ562" t="s">
        <v>74</v>
      </c>
      <c r="BR562" t="s">
        <v>100</v>
      </c>
      <c r="BS562" t="s">
        <v>8797</v>
      </c>
      <c r="BT562" t="str">
        <f>HYPERLINK("https%3A%2F%2Fwww.webofscience.com%2Fwos%2Fwoscc%2Ffull-record%2FWOS:000236417000007","View Full Record in Web of Science")</f>
        <v>View Full Record in Web of Science</v>
      </c>
    </row>
    <row r="563" spans="1:72" x14ac:dyDescent="0.15">
      <c r="A563" t="s">
        <v>72</v>
      </c>
      <c r="B563" t="s">
        <v>8798</v>
      </c>
      <c r="C563" t="s">
        <v>74</v>
      </c>
      <c r="D563" t="s">
        <v>74</v>
      </c>
      <c r="E563" t="s">
        <v>74</v>
      </c>
      <c r="F563" t="s">
        <v>8798</v>
      </c>
      <c r="G563" t="s">
        <v>74</v>
      </c>
      <c r="H563" t="s">
        <v>74</v>
      </c>
      <c r="I563" t="s">
        <v>8799</v>
      </c>
      <c r="J563" t="s">
        <v>1511</v>
      </c>
      <c r="K563" t="s">
        <v>74</v>
      </c>
      <c r="L563" t="s">
        <v>74</v>
      </c>
      <c r="M563" t="s">
        <v>78</v>
      </c>
      <c r="N563" t="s">
        <v>79</v>
      </c>
      <c r="O563" t="s">
        <v>74</v>
      </c>
      <c r="P563" t="s">
        <v>74</v>
      </c>
      <c r="Q563" t="s">
        <v>74</v>
      </c>
      <c r="R563" t="s">
        <v>74</v>
      </c>
      <c r="S563" t="s">
        <v>74</v>
      </c>
      <c r="T563" t="s">
        <v>74</v>
      </c>
      <c r="U563" t="s">
        <v>8800</v>
      </c>
      <c r="V563" t="s">
        <v>8801</v>
      </c>
      <c r="W563" t="s">
        <v>8802</v>
      </c>
      <c r="X563" t="s">
        <v>4893</v>
      </c>
      <c r="Y563" t="s">
        <v>8803</v>
      </c>
      <c r="Z563" t="s">
        <v>8804</v>
      </c>
      <c r="AA563" t="s">
        <v>74</v>
      </c>
      <c r="AB563" t="s">
        <v>74</v>
      </c>
      <c r="AC563" t="s">
        <v>74</v>
      </c>
      <c r="AD563" t="s">
        <v>74</v>
      </c>
      <c r="AE563" t="s">
        <v>74</v>
      </c>
      <c r="AF563" t="s">
        <v>74</v>
      </c>
      <c r="AG563">
        <v>46</v>
      </c>
      <c r="AH563">
        <v>19</v>
      </c>
      <c r="AI563">
        <v>19</v>
      </c>
      <c r="AJ563">
        <v>0</v>
      </c>
      <c r="AK563">
        <v>13</v>
      </c>
      <c r="AL563" t="s">
        <v>994</v>
      </c>
      <c r="AM563" t="s">
        <v>476</v>
      </c>
      <c r="AN563" t="s">
        <v>995</v>
      </c>
      <c r="AO563" t="s">
        <v>1520</v>
      </c>
      <c r="AP563" t="s">
        <v>74</v>
      </c>
      <c r="AQ563" t="s">
        <v>74</v>
      </c>
      <c r="AR563" t="s">
        <v>1522</v>
      </c>
      <c r="AS563" t="s">
        <v>1523</v>
      </c>
      <c r="AT563" t="s">
        <v>8038</v>
      </c>
      <c r="AU563">
        <v>2006</v>
      </c>
      <c r="AV563">
        <v>29</v>
      </c>
      <c r="AW563">
        <v>5</v>
      </c>
      <c r="AX563" t="s">
        <v>74</v>
      </c>
      <c r="AY563" t="s">
        <v>74</v>
      </c>
      <c r="AZ563" t="s">
        <v>74</v>
      </c>
      <c r="BA563" t="s">
        <v>74</v>
      </c>
      <c r="BB563">
        <v>424</v>
      </c>
      <c r="BC563">
        <v>438</v>
      </c>
      <c r="BD563" t="s">
        <v>74</v>
      </c>
      <c r="BE563" t="s">
        <v>8805</v>
      </c>
      <c r="BF563" t="str">
        <f>HYPERLINK("http://dx.doi.org/10.1007/s00300-005-0074-5","http://dx.doi.org/10.1007/s00300-005-0074-5")</f>
        <v>http://dx.doi.org/10.1007/s00300-005-0074-5</v>
      </c>
      <c r="BG563" t="s">
        <v>74</v>
      </c>
      <c r="BH563" t="s">
        <v>74</v>
      </c>
      <c r="BI563">
        <v>15</v>
      </c>
      <c r="BJ563" t="s">
        <v>1525</v>
      </c>
      <c r="BK563" t="s">
        <v>97</v>
      </c>
      <c r="BL563" t="s">
        <v>1526</v>
      </c>
      <c r="BM563" t="s">
        <v>8776</v>
      </c>
      <c r="BN563" t="s">
        <v>74</v>
      </c>
      <c r="BO563" t="s">
        <v>74</v>
      </c>
      <c r="BP563" t="s">
        <v>74</v>
      </c>
      <c r="BQ563" t="s">
        <v>74</v>
      </c>
      <c r="BR563" t="s">
        <v>100</v>
      </c>
      <c r="BS563" t="s">
        <v>8806</v>
      </c>
      <c r="BT563" t="str">
        <f>HYPERLINK("https%3A%2F%2Fwww.webofscience.com%2Fwos%2Fwoscc%2Ffull-record%2FWOS:000236417000009","View Full Record in Web of Science")</f>
        <v>View Full Record in Web of Science</v>
      </c>
    </row>
    <row r="564" spans="1:72" x14ac:dyDescent="0.15">
      <c r="A564" t="s">
        <v>72</v>
      </c>
      <c r="B564" t="s">
        <v>8807</v>
      </c>
      <c r="C564" t="s">
        <v>74</v>
      </c>
      <c r="D564" t="s">
        <v>74</v>
      </c>
      <c r="E564" t="s">
        <v>74</v>
      </c>
      <c r="F564" t="s">
        <v>8807</v>
      </c>
      <c r="G564" t="s">
        <v>74</v>
      </c>
      <c r="H564" t="s">
        <v>74</v>
      </c>
      <c r="I564" t="s">
        <v>8808</v>
      </c>
      <c r="J564" t="s">
        <v>1511</v>
      </c>
      <c r="K564" t="s">
        <v>74</v>
      </c>
      <c r="L564" t="s">
        <v>74</v>
      </c>
      <c r="M564" t="s">
        <v>78</v>
      </c>
      <c r="N564" t="s">
        <v>79</v>
      </c>
      <c r="O564" t="s">
        <v>74</v>
      </c>
      <c r="P564" t="s">
        <v>74</v>
      </c>
      <c r="Q564" t="s">
        <v>74</v>
      </c>
      <c r="R564" t="s">
        <v>74</v>
      </c>
      <c r="S564" t="s">
        <v>74</v>
      </c>
      <c r="T564" t="s">
        <v>74</v>
      </c>
      <c r="U564" t="s">
        <v>8809</v>
      </c>
      <c r="V564" t="s">
        <v>8810</v>
      </c>
      <c r="W564" t="s">
        <v>8811</v>
      </c>
      <c r="X564" t="s">
        <v>8812</v>
      </c>
      <c r="Y564" t="s">
        <v>8813</v>
      </c>
      <c r="Z564" t="s">
        <v>4555</v>
      </c>
      <c r="AA564" t="s">
        <v>4556</v>
      </c>
      <c r="AB564" t="s">
        <v>4557</v>
      </c>
      <c r="AC564" t="s">
        <v>74</v>
      </c>
      <c r="AD564" t="s">
        <v>74</v>
      </c>
      <c r="AE564" t="s">
        <v>74</v>
      </c>
      <c r="AF564" t="s">
        <v>74</v>
      </c>
      <c r="AG564">
        <v>36</v>
      </c>
      <c r="AH564">
        <v>7</v>
      </c>
      <c r="AI564">
        <v>7</v>
      </c>
      <c r="AJ564">
        <v>2</v>
      </c>
      <c r="AK564">
        <v>5</v>
      </c>
      <c r="AL564" t="s">
        <v>994</v>
      </c>
      <c r="AM564" t="s">
        <v>476</v>
      </c>
      <c r="AN564" t="s">
        <v>1551</v>
      </c>
      <c r="AO564" t="s">
        <v>1520</v>
      </c>
      <c r="AP564" t="s">
        <v>1521</v>
      </c>
      <c r="AQ564" t="s">
        <v>74</v>
      </c>
      <c r="AR564" t="s">
        <v>1522</v>
      </c>
      <c r="AS564" t="s">
        <v>1523</v>
      </c>
      <c r="AT564" t="s">
        <v>8038</v>
      </c>
      <c r="AU564">
        <v>2006</v>
      </c>
      <c r="AV564">
        <v>29</v>
      </c>
      <c r="AW564">
        <v>5</v>
      </c>
      <c r="AX564" t="s">
        <v>74</v>
      </c>
      <c r="AY564" t="s">
        <v>74</v>
      </c>
      <c r="AZ564" t="s">
        <v>74</v>
      </c>
      <c r="BA564" t="s">
        <v>74</v>
      </c>
      <c r="BB564">
        <v>439</v>
      </c>
      <c r="BC564">
        <v>443</v>
      </c>
      <c r="BD564" t="s">
        <v>74</v>
      </c>
      <c r="BE564" t="s">
        <v>8814</v>
      </c>
      <c r="BF564" t="str">
        <f>HYPERLINK("http://dx.doi.org/10.1007/s00300-005-0069-2","http://dx.doi.org/10.1007/s00300-005-0069-2")</f>
        <v>http://dx.doi.org/10.1007/s00300-005-0069-2</v>
      </c>
      <c r="BG564" t="s">
        <v>74</v>
      </c>
      <c r="BH564" t="s">
        <v>74</v>
      </c>
      <c r="BI564">
        <v>5</v>
      </c>
      <c r="BJ564" t="s">
        <v>1525</v>
      </c>
      <c r="BK564" t="s">
        <v>97</v>
      </c>
      <c r="BL564" t="s">
        <v>1526</v>
      </c>
      <c r="BM564" t="s">
        <v>8776</v>
      </c>
      <c r="BN564" t="s">
        <v>74</v>
      </c>
      <c r="BO564" t="s">
        <v>2216</v>
      </c>
      <c r="BP564" t="s">
        <v>74</v>
      </c>
      <c r="BQ564" t="s">
        <v>74</v>
      </c>
      <c r="BR564" t="s">
        <v>100</v>
      </c>
      <c r="BS564" t="s">
        <v>8815</v>
      </c>
      <c r="BT564" t="str">
        <f>HYPERLINK("https%3A%2F%2Fwww.webofscience.com%2Fwos%2Fwoscc%2Ffull-record%2FWOS:000236417000010","View Full Record in Web of Science")</f>
        <v>View Full Record in Web of Science</v>
      </c>
    </row>
    <row r="565" spans="1:72" x14ac:dyDescent="0.15">
      <c r="A565" t="s">
        <v>72</v>
      </c>
      <c r="B565" t="s">
        <v>8816</v>
      </c>
      <c r="C565" t="s">
        <v>74</v>
      </c>
      <c r="D565" t="s">
        <v>74</v>
      </c>
      <c r="E565" t="s">
        <v>74</v>
      </c>
      <c r="F565" t="s">
        <v>8817</v>
      </c>
      <c r="G565" t="s">
        <v>74</v>
      </c>
      <c r="H565" t="s">
        <v>74</v>
      </c>
      <c r="I565" t="s">
        <v>8818</v>
      </c>
      <c r="J565" t="s">
        <v>3594</v>
      </c>
      <c r="K565" t="s">
        <v>74</v>
      </c>
      <c r="L565" t="s">
        <v>74</v>
      </c>
      <c r="M565" t="s">
        <v>78</v>
      </c>
      <c r="N565" t="s">
        <v>79</v>
      </c>
      <c r="O565" t="s">
        <v>74</v>
      </c>
      <c r="P565" t="s">
        <v>74</v>
      </c>
      <c r="Q565" t="s">
        <v>74</v>
      </c>
      <c r="R565" t="s">
        <v>74</v>
      </c>
      <c r="S565" t="s">
        <v>74</v>
      </c>
      <c r="T565" t="s">
        <v>74</v>
      </c>
      <c r="U565" t="s">
        <v>8819</v>
      </c>
      <c r="V565" t="s">
        <v>8820</v>
      </c>
      <c r="W565" t="s">
        <v>8821</v>
      </c>
      <c r="X565" t="s">
        <v>8822</v>
      </c>
      <c r="Y565" t="s">
        <v>8823</v>
      </c>
      <c r="Z565" t="s">
        <v>8824</v>
      </c>
      <c r="AA565" t="s">
        <v>74</v>
      </c>
      <c r="AB565" t="s">
        <v>8825</v>
      </c>
      <c r="AC565" t="s">
        <v>74</v>
      </c>
      <c r="AD565" t="s">
        <v>74</v>
      </c>
      <c r="AE565" t="s">
        <v>74</v>
      </c>
      <c r="AF565" t="s">
        <v>74</v>
      </c>
      <c r="AG565">
        <v>51</v>
      </c>
      <c r="AH565">
        <v>28</v>
      </c>
      <c r="AI565">
        <v>36</v>
      </c>
      <c r="AJ565">
        <v>0</v>
      </c>
      <c r="AK565">
        <v>27</v>
      </c>
      <c r="AL565" t="s">
        <v>1139</v>
      </c>
      <c r="AM565" t="s">
        <v>476</v>
      </c>
      <c r="AN565" t="s">
        <v>1140</v>
      </c>
      <c r="AO565" t="s">
        <v>3599</v>
      </c>
      <c r="AP565" t="s">
        <v>8826</v>
      </c>
      <c r="AQ565" t="s">
        <v>74</v>
      </c>
      <c r="AR565" t="s">
        <v>3600</v>
      </c>
      <c r="AS565" t="s">
        <v>3601</v>
      </c>
      <c r="AT565" t="s">
        <v>8038</v>
      </c>
      <c r="AU565">
        <v>2006</v>
      </c>
      <c r="AV565">
        <v>42</v>
      </c>
      <c r="AW565">
        <v>221</v>
      </c>
      <c r="AX565" t="s">
        <v>74</v>
      </c>
      <c r="AY565" t="s">
        <v>74</v>
      </c>
      <c r="AZ565" t="s">
        <v>74</v>
      </c>
      <c r="BA565" t="s">
        <v>74</v>
      </c>
      <c r="BB565">
        <v>111</v>
      </c>
      <c r="BC565">
        <v>120</v>
      </c>
      <c r="BD565" t="s">
        <v>74</v>
      </c>
      <c r="BE565" t="s">
        <v>8827</v>
      </c>
      <c r="BF565" t="str">
        <f>HYPERLINK("http://dx.doi.org/10.1017/S003224740500505X","http://dx.doi.org/10.1017/S003224740500505X")</f>
        <v>http://dx.doi.org/10.1017/S003224740500505X</v>
      </c>
      <c r="BG565" t="s">
        <v>74</v>
      </c>
      <c r="BH565" t="s">
        <v>74</v>
      </c>
      <c r="BI565">
        <v>10</v>
      </c>
      <c r="BJ565" t="s">
        <v>3603</v>
      </c>
      <c r="BK565" t="s">
        <v>97</v>
      </c>
      <c r="BL565" t="s">
        <v>420</v>
      </c>
      <c r="BM565" t="s">
        <v>8828</v>
      </c>
      <c r="BN565" t="s">
        <v>74</v>
      </c>
      <c r="BO565" t="s">
        <v>74</v>
      </c>
      <c r="BP565" t="s">
        <v>74</v>
      </c>
      <c r="BQ565" t="s">
        <v>74</v>
      </c>
      <c r="BR565" t="s">
        <v>100</v>
      </c>
      <c r="BS565" t="s">
        <v>8829</v>
      </c>
      <c r="BT565" t="str">
        <f>HYPERLINK("https%3A%2F%2Fwww.webofscience.com%2Fwos%2Fwoscc%2Ffull-record%2FWOS:000238119100004","View Full Record in Web of Science")</f>
        <v>View Full Record in Web of Science</v>
      </c>
    </row>
    <row r="566" spans="1:72" x14ac:dyDescent="0.15">
      <c r="A566" t="s">
        <v>72</v>
      </c>
      <c r="B566" t="s">
        <v>8830</v>
      </c>
      <c r="C566" t="s">
        <v>74</v>
      </c>
      <c r="D566" t="s">
        <v>74</v>
      </c>
      <c r="E566" t="s">
        <v>74</v>
      </c>
      <c r="F566" t="s">
        <v>8830</v>
      </c>
      <c r="G566" t="s">
        <v>74</v>
      </c>
      <c r="H566" t="s">
        <v>74</v>
      </c>
      <c r="I566" t="s">
        <v>8831</v>
      </c>
      <c r="J566" t="s">
        <v>3594</v>
      </c>
      <c r="K566" t="s">
        <v>74</v>
      </c>
      <c r="L566" t="s">
        <v>74</v>
      </c>
      <c r="M566" t="s">
        <v>78</v>
      </c>
      <c r="N566" t="s">
        <v>79</v>
      </c>
      <c r="O566" t="s">
        <v>74</v>
      </c>
      <c r="P566" t="s">
        <v>74</v>
      </c>
      <c r="Q566" t="s">
        <v>74</v>
      </c>
      <c r="R566" t="s">
        <v>74</v>
      </c>
      <c r="S566" t="s">
        <v>74</v>
      </c>
      <c r="T566" t="s">
        <v>74</v>
      </c>
      <c r="U566" t="s">
        <v>8832</v>
      </c>
      <c r="V566" t="s">
        <v>8833</v>
      </c>
      <c r="W566" t="s">
        <v>8834</v>
      </c>
      <c r="X566" t="s">
        <v>8835</v>
      </c>
      <c r="Y566" t="s">
        <v>8836</v>
      </c>
      <c r="Z566" t="s">
        <v>74</v>
      </c>
      <c r="AA566" t="s">
        <v>74</v>
      </c>
      <c r="AB566" t="s">
        <v>8837</v>
      </c>
      <c r="AC566" t="s">
        <v>74</v>
      </c>
      <c r="AD566" t="s">
        <v>74</v>
      </c>
      <c r="AE566" t="s">
        <v>74</v>
      </c>
      <c r="AF566" t="s">
        <v>74</v>
      </c>
      <c r="AG566">
        <v>20</v>
      </c>
      <c r="AH566">
        <v>17</v>
      </c>
      <c r="AI566">
        <v>18</v>
      </c>
      <c r="AJ566">
        <v>2</v>
      </c>
      <c r="AK566">
        <v>18</v>
      </c>
      <c r="AL566" t="s">
        <v>1139</v>
      </c>
      <c r="AM566" t="s">
        <v>476</v>
      </c>
      <c r="AN566" t="s">
        <v>4489</v>
      </c>
      <c r="AO566" t="s">
        <v>3599</v>
      </c>
      <c r="AP566" t="s">
        <v>74</v>
      </c>
      <c r="AQ566" t="s">
        <v>74</v>
      </c>
      <c r="AR566" t="s">
        <v>3600</v>
      </c>
      <c r="AS566" t="s">
        <v>3601</v>
      </c>
      <c r="AT566" t="s">
        <v>8038</v>
      </c>
      <c r="AU566">
        <v>2006</v>
      </c>
      <c r="AV566">
        <v>42</v>
      </c>
      <c r="AW566">
        <v>221</v>
      </c>
      <c r="AX566" t="s">
        <v>74</v>
      </c>
      <c r="AY566" t="s">
        <v>74</v>
      </c>
      <c r="AZ566" t="s">
        <v>74</v>
      </c>
      <c r="BA566" t="s">
        <v>74</v>
      </c>
      <c r="BB566">
        <v>121</v>
      </c>
      <c r="BC566">
        <v>126</v>
      </c>
      <c r="BD566" t="s">
        <v>74</v>
      </c>
      <c r="BE566" t="s">
        <v>8838</v>
      </c>
      <c r="BF566" t="str">
        <f>HYPERLINK("http://dx.doi.org/10.1017/S0032247406005109","http://dx.doi.org/10.1017/S0032247406005109")</f>
        <v>http://dx.doi.org/10.1017/S0032247406005109</v>
      </c>
      <c r="BG566" t="s">
        <v>74</v>
      </c>
      <c r="BH566" t="s">
        <v>74</v>
      </c>
      <c r="BI566">
        <v>6</v>
      </c>
      <c r="BJ566" t="s">
        <v>3603</v>
      </c>
      <c r="BK566" t="s">
        <v>97</v>
      </c>
      <c r="BL566" t="s">
        <v>420</v>
      </c>
      <c r="BM566" t="s">
        <v>8828</v>
      </c>
      <c r="BN566" t="s">
        <v>74</v>
      </c>
      <c r="BO566" t="s">
        <v>74</v>
      </c>
      <c r="BP566" t="s">
        <v>74</v>
      </c>
      <c r="BQ566" t="s">
        <v>74</v>
      </c>
      <c r="BR566" t="s">
        <v>100</v>
      </c>
      <c r="BS566" t="s">
        <v>8839</v>
      </c>
      <c r="BT566" t="str">
        <f>HYPERLINK("https%3A%2F%2Fwww.webofscience.com%2Fwos%2Fwoscc%2Ffull-record%2FWOS:000238119100005","View Full Record in Web of Science")</f>
        <v>View Full Record in Web of Science</v>
      </c>
    </row>
    <row r="567" spans="1:72" x14ac:dyDescent="0.15">
      <c r="A567" t="s">
        <v>72</v>
      </c>
      <c r="B567" t="s">
        <v>8840</v>
      </c>
      <c r="C567" t="s">
        <v>74</v>
      </c>
      <c r="D567" t="s">
        <v>74</v>
      </c>
      <c r="E567" t="s">
        <v>74</v>
      </c>
      <c r="F567" t="s">
        <v>8840</v>
      </c>
      <c r="G567" t="s">
        <v>74</v>
      </c>
      <c r="H567" t="s">
        <v>74</v>
      </c>
      <c r="I567" t="s">
        <v>8841</v>
      </c>
      <c r="J567" t="s">
        <v>3594</v>
      </c>
      <c r="K567" t="s">
        <v>74</v>
      </c>
      <c r="L567" t="s">
        <v>74</v>
      </c>
      <c r="M567" t="s">
        <v>78</v>
      </c>
      <c r="N567" t="s">
        <v>79</v>
      </c>
      <c r="O567" t="s">
        <v>74</v>
      </c>
      <c r="P567" t="s">
        <v>74</v>
      </c>
      <c r="Q567" t="s">
        <v>74</v>
      </c>
      <c r="R567" t="s">
        <v>74</v>
      </c>
      <c r="S567" t="s">
        <v>74</v>
      </c>
      <c r="T567" t="s">
        <v>74</v>
      </c>
      <c r="U567" t="s">
        <v>74</v>
      </c>
      <c r="V567" t="s">
        <v>8842</v>
      </c>
      <c r="W567" t="s">
        <v>8843</v>
      </c>
      <c r="X567" t="s">
        <v>8844</v>
      </c>
      <c r="Y567" t="s">
        <v>8845</v>
      </c>
      <c r="Z567" t="s">
        <v>8846</v>
      </c>
      <c r="AA567" t="s">
        <v>74</v>
      </c>
      <c r="AB567" t="s">
        <v>74</v>
      </c>
      <c r="AC567" t="s">
        <v>74</v>
      </c>
      <c r="AD567" t="s">
        <v>74</v>
      </c>
      <c r="AE567" t="s">
        <v>74</v>
      </c>
      <c r="AF567" t="s">
        <v>74</v>
      </c>
      <c r="AG567">
        <v>21</v>
      </c>
      <c r="AH567">
        <v>14</v>
      </c>
      <c r="AI567">
        <v>18</v>
      </c>
      <c r="AJ567">
        <v>0</v>
      </c>
      <c r="AK567">
        <v>18</v>
      </c>
      <c r="AL567" t="s">
        <v>1139</v>
      </c>
      <c r="AM567" t="s">
        <v>476</v>
      </c>
      <c r="AN567" t="s">
        <v>4489</v>
      </c>
      <c r="AO567" t="s">
        <v>3599</v>
      </c>
      <c r="AP567" t="s">
        <v>74</v>
      </c>
      <c r="AQ567" t="s">
        <v>74</v>
      </c>
      <c r="AR567" t="s">
        <v>3600</v>
      </c>
      <c r="AS567" t="s">
        <v>3601</v>
      </c>
      <c r="AT567" t="s">
        <v>8038</v>
      </c>
      <c r="AU567">
        <v>2006</v>
      </c>
      <c r="AV567">
        <v>42</v>
      </c>
      <c r="AW567">
        <v>221</v>
      </c>
      <c r="AX567" t="s">
        <v>74</v>
      </c>
      <c r="AY567" t="s">
        <v>74</v>
      </c>
      <c r="AZ567" t="s">
        <v>74</v>
      </c>
      <c r="BA567" t="s">
        <v>74</v>
      </c>
      <c r="BB567">
        <v>139</v>
      </c>
      <c r="BC567">
        <v>146</v>
      </c>
      <c r="BD567" t="s">
        <v>74</v>
      </c>
      <c r="BE567" t="s">
        <v>8847</v>
      </c>
      <c r="BF567" t="str">
        <f>HYPERLINK("http://dx.doi.org/10.1017/S0032247406005158","http://dx.doi.org/10.1017/S0032247406005158")</f>
        <v>http://dx.doi.org/10.1017/S0032247406005158</v>
      </c>
      <c r="BG567" t="s">
        <v>74</v>
      </c>
      <c r="BH567" t="s">
        <v>74</v>
      </c>
      <c r="BI567">
        <v>8</v>
      </c>
      <c r="BJ567" t="s">
        <v>3603</v>
      </c>
      <c r="BK567" t="s">
        <v>97</v>
      </c>
      <c r="BL567" t="s">
        <v>420</v>
      </c>
      <c r="BM567" t="s">
        <v>8828</v>
      </c>
      <c r="BN567" t="s">
        <v>74</v>
      </c>
      <c r="BO567" t="s">
        <v>74</v>
      </c>
      <c r="BP567" t="s">
        <v>74</v>
      </c>
      <c r="BQ567" t="s">
        <v>74</v>
      </c>
      <c r="BR567" t="s">
        <v>100</v>
      </c>
      <c r="BS567" t="s">
        <v>8848</v>
      </c>
      <c r="BT567" t="str">
        <f>HYPERLINK("https%3A%2F%2Fwww.webofscience.com%2Fwos%2Fwoscc%2Ffull-record%2FWOS:000238119100007","View Full Record in Web of Science")</f>
        <v>View Full Record in Web of Science</v>
      </c>
    </row>
    <row r="568" spans="1:72" x14ac:dyDescent="0.15">
      <c r="A568" t="s">
        <v>72</v>
      </c>
      <c r="B568" t="s">
        <v>8849</v>
      </c>
      <c r="C568" t="s">
        <v>74</v>
      </c>
      <c r="D568" t="s">
        <v>74</v>
      </c>
      <c r="E568" t="s">
        <v>74</v>
      </c>
      <c r="F568" t="s">
        <v>8850</v>
      </c>
      <c r="G568" t="s">
        <v>74</v>
      </c>
      <c r="H568" t="s">
        <v>74</v>
      </c>
      <c r="I568" t="s">
        <v>8851</v>
      </c>
      <c r="J568" t="s">
        <v>3594</v>
      </c>
      <c r="K568" t="s">
        <v>74</v>
      </c>
      <c r="L568" t="s">
        <v>74</v>
      </c>
      <c r="M568" t="s">
        <v>78</v>
      </c>
      <c r="N568" t="s">
        <v>79</v>
      </c>
      <c r="O568" t="s">
        <v>74</v>
      </c>
      <c r="P568" t="s">
        <v>74</v>
      </c>
      <c r="Q568" t="s">
        <v>74</v>
      </c>
      <c r="R568" t="s">
        <v>74</v>
      </c>
      <c r="S568" t="s">
        <v>74</v>
      </c>
      <c r="T568" t="s">
        <v>74</v>
      </c>
      <c r="U568" t="s">
        <v>74</v>
      </c>
      <c r="V568" t="s">
        <v>8852</v>
      </c>
      <c r="W568" t="s">
        <v>8853</v>
      </c>
      <c r="X568" t="s">
        <v>8854</v>
      </c>
      <c r="Y568" t="s">
        <v>8855</v>
      </c>
      <c r="Z568" t="s">
        <v>74</v>
      </c>
      <c r="AA568" t="s">
        <v>74</v>
      </c>
      <c r="AB568" t="s">
        <v>74</v>
      </c>
      <c r="AC568" t="s">
        <v>74</v>
      </c>
      <c r="AD568" t="s">
        <v>74</v>
      </c>
      <c r="AE568" t="s">
        <v>74</v>
      </c>
      <c r="AF568" t="s">
        <v>74</v>
      </c>
      <c r="AG568">
        <v>54</v>
      </c>
      <c r="AH568">
        <v>8</v>
      </c>
      <c r="AI568">
        <v>10</v>
      </c>
      <c r="AJ568">
        <v>0</v>
      </c>
      <c r="AK568">
        <v>2</v>
      </c>
      <c r="AL568" t="s">
        <v>1139</v>
      </c>
      <c r="AM568" t="s">
        <v>476</v>
      </c>
      <c r="AN568" t="s">
        <v>1140</v>
      </c>
      <c r="AO568" t="s">
        <v>3599</v>
      </c>
      <c r="AP568" t="s">
        <v>8826</v>
      </c>
      <c r="AQ568" t="s">
        <v>74</v>
      </c>
      <c r="AR568" t="s">
        <v>3600</v>
      </c>
      <c r="AS568" t="s">
        <v>3601</v>
      </c>
      <c r="AT568" t="s">
        <v>8038</v>
      </c>
      <c r="AU568">
        <v>2006</v>
      </c>
      <c r="AV568">
        <v>42</v>
      </c>
      <c r="AW568">
        <v>221</v>
      </c>
      <c r="AX568" t="s">
        <v>74</v>
      </c>
      <c r="AY568" t="s">
        <v>74</v>
      </c>
      <c r="AZ568" t="s">
        <v>74</v>
      </c>
      <c r="BA568" t="s">
        <v>74</v>
      </c>
      <c r="BB568">
        <v>153</v>
      </c>
      <c r="BC568">
        <v>165</v>
      </c>
      <c r="BD568" t="s">
        <v>74</v>
      </c>
      <c r="BE568" t="s">
        <v>8856</v>
      </c>
      <c r="BF568" t="str">
        <f>HYPERLINK("http://dx.doi.org/10.1017/S0032247406005274","http://dx.doi.org/10.1017/S0032247406005274")</f>
        <v>http://dx.doi.org/10.1017/S0032247406005274</v>
      </c>
      <c r="BG568" t="s">
        <v>74</v>
      </c>
      <c r="BH568" t="s">
        <v>74</v>
      </c>
      <c r="BI568">
        <v>13</v>
      </c>
      <c r="BJ568" t="s">
        <v>3603</v>
      </c>
      <c r="BK568" t="s">
        <v>97</v>
      </c>
      <c r="BL568" t="s">
        <v>420</v>
      </c>
      <c r="BM568" t="s">
        <v>8828</v>
      </c>
      <c r="BN568" t="s">
        <v>74</v>
      </c>
      <c r="BO568" t="s">
        <v>74</v>
      </c>
      <c r="BP568" t="s">
        <v>74</v>
      </c>
      <c r="BQ568" t="s">
        <v>74</v>
      </c>
      <c r="BR568" t="s">
        <v>100</v>
      </c>
      <c r="BS568" t="s">
        <v>8857</v>
      </c>
      <c r="BT568" t="str">
        <f>HYPERLINK("https%3A%2F%2Fwww.webofscience.com%2Fwos%2Fwoscc%2Ffull-record%2FWOS:000238119100009","View Full Record in Web of Science")</f>
        <v>View Full Record in Web of Science</v>
      </c>
    </row>
    <row r="569" spans="1:72" x14ac:dyDescent="0.15">
      <c r="A569" t="s">
        <v>72</v>
      </c>
      <c r="B569" t="s">
        <v>8858</v>
      </c>
      <c r="C569" t="s">
        <v>74</v>
      </c>
      <c r="D569" t="s">
        <v>74</v>
      </c>
      <c r="E569" t="s">
        <v>74</v>
      </c>
      <c r="F569" t="s">
        <v>8859</v>
      </c>
      <c r="G569" t="s">
        <v>74</v>
      </c>
      <c r="H569" t="s">
        <v>74</v>
      </c>
      <c r="I569" t="s">
        <v>8860</v>
      </c>
      <c r="J569" t="s">
        <v>8861</v>
      </c>
      <c r="K569" t="s">
        <v>74</v>
      </c>
      <c r="L569" t="s">
        <v>74</v>
      </c>
      <c r="M569" t="s">
        <v>78</v>
      </c>
      <c r="N569" t="s">
        <v>511</v>
      </c>
      <c r="O569" t="s">
        <v>74</v>
      </c>
      <c r="P569" t="s">
        <v>74</v>
      </c>
      <c r="Q569" t="s">
        <v>74</v>
      </c>
      <c r="R569" t="s">
        <v>74</v>
      </c>
      <c r="S569" t="s">
        <v>74</v>
      </c>
      <c r="T569" t="s">
        <v>74</v>
      </c>
      <c r="U569" t="s">
        <v>8862</v>
      </c>
      <c r="V569" t="s">
        <v>74</v>
      </c>
      <c r="W569" t="s">
        <v>8863</v>
      </c>
      <c r="X569" t="s">
        <v>4988</v>
      </c>
      <c r="Y569" t="s">
        <v>8864</v>
      </c>
      <c r="Z569" t="s">
        <v>74</v>
      </c>
      <c r="AA569" t="s">
        <v>74</v>
      </c>
      <c r="AB569" t="s">
        <v>74</v>
      </c>
      <c r="AC569" t="s">
        <v>74</v>
      </c>
      <c r="AD569" t="s">
        <v>74</v>
      </c>
      <c r="AE569" t="s">
        <v>74</v>
      </c>
      <c r="AF569" t="s">
        <v>74</v>
      </c>
      <c r="AG569">
        <v>109</v>
      </c>
      <c r="AH569">
        <v>1</v>
      </c>
      <c r="AI569">
        <v>2</v>
      </c>
      <c r="AJ569">
        <v>0</v>
      </c>
      <c r="AK569">
        <v>9</v>
      </c>
      <c r="AL569" t="s">
        <v>2887</v>
      </c>
      <c r="AM569" t="s">
        <v>557</v>
      </c>
      <c r="AN569" t="s">
        <v>2888</v>
      </c>
      <c r="AO569" t="s">
        <v>8865</v>
      </c>
      <c r="AP569" t="s">
        <v>8866</v>
      </c>
      <c r="AQ569" t="s">
        <v>74</v>
      </c>
      <c r="AR569" t="s">
        <v>8867</v>
      </c>
      <c r="AS569" t="s">
        <v>8868</v>
      </c>
      <c r="AT569" t="s">
        <v>8038</v>
      </c>
      <c r="AU569">
        <v>2006</v>
      </c>
      <c r="AV569">
        <v>30</v>
      </c>
      <c r="AW569">
        <v>3</v>
      </c>
      <c r="AX569" t="s">
        <v>74</v>
      </c>
      <c r="AY569" t="s">
        <v>74</v>
      </c>
      <c r="AZ569" t="s">
        <v>74</v>
      </c>
      <c r="BA569" t="s">
        <v>74</v>
      </c>
      <c r="BB569">
        <v>432</v>
      </c>
      <c r="BC569">
        <v>442</v>
      </c>
      <c r="BD569" t="s">
        <v>74</v>
      </c>
      <c r="BE569" t="s">
        <v>8869</v>
      </c>
      <c r="BF569" t="str">
        <f>HYPERLINK("http://dx.doi.org/10.1191/0309133306pp491pr","http://dx.doi.org/10.1191/0309133306pp491pr")</f>
        <v>http://dx.doi.org/10.1191/0309133306pp491pr</v>
      </c>
      <c r="BG569" t="s">
        <v>74</v>
      </c>
      <c r="BH569" t="s">
        <v>74</v>
      </c>
      <c r="BI569">
        <v>11</v>
      </c>
      <c r="BJ569" t="s">
        <v>2893</v>
      </c>
      <c r="BK569" t="s">
        <v>97</v>
      </c>
      <c r="BL569" t="s">
        <v>2894</v>
      </c>
      <c r="BM569" t="s">
        <v>8870</v>
      </c>
      <c r="BN569" t="s">
        <v>74</v>
      </c>
      <c r="BO569" t="s">
        <v>74</v>
      </c>
      <c r="BP569" t="s">
        <v>74</v>
      </c>
      <c r="BQ569" t="s">
        <v>74</v>
      </c>
      <c r="BR569" t="s">
        <v>100</v>
      </c>
      <c r="BS569" t="s">
        <v>8871</v>
      </c>
      <c r="BT569" t="str">
        <f>HYPERLINK("https%3A%2F%2Fwww.webofscience.com%2Fwos%2Fwoscc%2Ffull-record%2FWOS:000238448500008","View Full Record in Web of Science")</f>
        <v>View Full Record in Web of Science</v>
      </c>
    </row>
    <row r="570" spans="1:72" x14ac:dyDescent="0.15">
      <c r="A570" t="s">
        <v>72</v>
      </c>
      <c r="B570" t="s">
        <v>8872</v>
      </c>
      <c r="C570" t="s">
        <v>74</v>
      </c>
      <c r="D570" t="s">
        <v>74</v>
      </c>
      <c r="E570" t="s">
        <v>74</v>
      </c>
      <c r="F570" t="s">
        <v>8872</v>
      </c>
      <c r="G570" t="s">
        <v>74</v>
      </c>
      <c r="H570" t="s">
        <v>74</v>
      </c>
      <c r="I570" t="s">
        <v>8873</v>
      </c>
      <c r="J570" t="s">
        <v>3639</v>
      </c>
      <c r="K570" t="s">
        <v>74</v>
      </c>
      <c r="L570" t="s">
        <v>74</v>
      </c>
      <c r="M570" t="s">
        <v>78</v>
      </c>
      <c r="N570" t="s">
        <v>79</v>
      </c>
      <c r="O570" t="s">
        <v>74</v>
      </c>
      <c r="P570" t="s">
        <v>74</v>
      </c>
      <c r="Q570" t="s">
        <v>74</v>
      </c>
      <c r="R570" t="s">
        <v>74</v>
      </c>
      <c r="S570" t="s">
        <v>74</v>
      </c>
      <c r="T570" t="s">
        <v>8874</v>
      </c>
      <c r="U570" t="s">
        <v>8875</v>
      </c>
      <c r="V570" t="s">
        <v>8876</v>
      </c>
      <c r="W570" t="s">
        <v>2334</v>
      </c>
      <c r="X570" t="s">
        <v>407</v>
      </c>
      <c r="Y570" t="s">
        <v>8877</v>
      </c>
      <c r="Z570" t="s">
        <v>8878</v>
      </c>
      <c r="AA570" t="s">
        <v>8879</v>
      </c>
      <c r="AB570" t="s">
        <v>8880</v>
      </c>
      <c r="AC570" t="s">
        <v>8881</v>
      </c>
      <c r="AD570" t="s">
        <v>1328</v>
      </c>
      <c r="AE570" t="s">
        <v>74</v>
      </c>
      <c r="AF570" t="s">
        <v>74</v>
      </c>
      <c r="AG570">
        <v>38</v>
      </c>
      <c r="AH570">
        <v>42</v>
      </c>
      <c r="AI570">
        <v>47</v>
      </c>
      <c r="AJ570">
        <v>0</v>
      </c>
      <c r="AK570">
        <v>16</v>
      </c>
      <c r="AL570" t="s">
        <v>8882</v>
      </c>
      <c r="AM570" t="s">
        <v>819</v>
      </c>
      <c r="AN570" t="s">
        <v>8883</v>
      </c>
      <c r="AO570" t="s">
        <v>3649</v>
      </c>
      <c r="AP570" t="s">
        <v>74</v>
      </c>
      <c r="AQ570" t="s">
        <v>74</v>
      </c>
      <c r="AR570" t="s">
        <v>3651</v>
      </c>
      <c r="AS570" t="s">
        <v>3652</v>
      </c>
      <c r="AT570" t="s">
        <v>8038</v>
      </c>
      <c r="AU570">
        <v>2006</v>
      </c>
      <c r="AV570">
        <v>132</v>
      </c>
      <c r="AW570">
        <v>616</v>
      </c>
      <c r="AX570" t="s">
        <v>8884</v>
      </c>
      <c r="AY570" t="s">
        <v>74</v>
      </c>
      <c r="AZ570" t="s">
        <v>74</v>
      </c>
      <c r="BA570" t="s">
        <v>74</v>
      </c>
      <c r="BB570">
        <v>779</v>
      </c>
      <c r="BC570">
        <v>802</v>
      </c>
      <c r="BD570" t="s">
        <v>74</v>
      </c>
      <c r="BE570" t="s">
        <v>8885</v>
      </c>
      <c r="BF570" t="str">
        <f>HYPERLINK("http://dx.doi.org/10.1256/qj.05.148","http://dx.doi.org/10.1256/qj.05.148")</f>
        <v>http://dx.doi.org/10.1256/qj.05.148</v>
      </c>
      <c r="BG570" t="s">
        <v>74</v>
      </c>
      <c r="BH570" t="s">
        <v>74</v>
      </c>
      <c r="BI570">
        <v>24</v>
      </c>
      <c r="BJ570" t="s">
        <v>869</v>
      </c>
      <c r="BK570" t="s">
        <v>97</v>
      </c>
      <c r="BL570" t="s">
        <v>869</v>
      </c>
      <c r="BM570" t="s">
        <v>8886</v>
      </c>
      <c r="BN570" t="s">
        <v>74</v>
      </c>
      <c r="BO570" t="s">
        <v>2216</v>
      </c>
      <c r="BP570" t="s">
        <v>74</v>
      </c>
      <c r="BQ570" t="s">
        <v>74</v>
      </c>
      <c r="BR570" t="s">
        <v>100</v>
      </c>
      <c r="BS570" t="s">
        <v>8887</v>
      </c>
      <c r="BT570" t="str">
        <f>HYPERLINK("https%3A%2F%2Fwww.webofscience.com%2Fwos%2Fwoscc%2Ffull-record%2FWOS:000238278600005","View Full Record in Web of Science")</f>
        <v>View Full Record in Web of Science</v>
      </c>
    </row>
    <row r="571" spans="1:72" x14ac:dyDescent="0.15">
      <c r="A571" t="s">
        <v>72</v>
      </c>
      <c r="B571" t="s">
        <v>8888</v>
      </c>
      <c r="C571" t="s">
        <v>74</v>
      </c>
      <c r="D571" t="s">
        <v>74</v>
      </c>
      <c r="E571" t="s">
        <v>74</v>
      </c>
      <c r="F571" t="s">
        <v>8889</v>
      </c>
      <c r="G571" t="s">
        <v>74</v>
      </c>
      <c r="H571" t="s">
        <v>74</v>
      </c>
      <c r="I571" t="s">
        <v>8890</v>
      </c>
      <c r="J571" t="s">
        <v>3639</v>
      </c>
      <c r="K571" t="s">
        <v>74</v>
      </c>
      <c r="L571" t="s">
        <v>74</v>
      </c>
      <c r="M571" t="s">
        <v>78</v>
      </c>
      <c r="N571" t="s">
        <v>79</v>
      </c>
      <c r="O571" t="s">
        <v>74</v>
      </c>
      <c r="P571" t="s">
        <v>74</v>
      </c>
      <c r="Q571" t="s">
        <v>74</v>
      </c>
      <c r="R571" t="s">
        <v>74</v>
      </c>
      <c r="S571" t="s">
        <v>74</v>
      </c>
      <c r="T571" t="s">
        <v>8891</v>
      </c>
      <c r="U571" t="s">
        <v>8892</v>
      </c>
      <c r="V571" t="s">
        <v>8893</v>
      </c>
      <c r="W571" t="s">
        <v>2334</v>
      </c>
      <c r="X571" t="s">
        <v>407</v>
      </c>
      <c r="Y571" t="s">
        <v>8894</v>
      </c>
      <c r="Z571" t="s">
        <v>8895</v>
      </c>
      <c r="AA571" t="s">
        <v>74</v>
      </c>
      <c r="AB571" t="s">
        <v>74</v>
      </c>
      <c r="AC571" t="s">
        <v>8896</v>
      </c>
      <c r="AD571" t="s">
        <v>1328</v>
      </c>
      <c r="AE571" t="s">
        <v>74</v>
      </c>
      <c r="AF571" t="s">
        <v>74</v>
      </c>
      <c r="AG571">
        <v>50</v>
      </c>
      <c r="AH571">
        <v>7</v>
      </c>
      <c r="AI571">
        <v>7</v>
      </c>
      <c r="AJ571">
        <v>0</v>
      </c>
      <c r="AK571">
        <v>5</v>
      </c>
      <c r="AL571" t="s">
        <v>1469</v>
      </c>
      <c r="AM571" t="s">
        <v>8897</v>
      </c>
      <c r="AN571" t="s">
        <v>8898</v>
      </c>
      <c r="AO571" t="s">
        <v>3649</v>
      </c>
      <c r="AP571" t="s">
        <v>74</v>
      </c>
      <c r="AQ571" t="s">
        <v>74</v>
      </c>
      <c r="AR571" t="s">
        <v>3651</v>
      </c>
      <c r="AS571" t="s">
        <v>3652</v>
      </c>
      <c r="AT571" t="s">
        <v>8038</v>
      </c>
      <c r="AU571">
        <v>2006</v>
      </c>
      <c r="AV571">
        <v>132</v>
      </c>
      <c r="AW571">
        <v>616</v>
      </c>
      <c r="AX571" t="s">
        <v>8884</v>
      </c>
      <c r="AY571" t="s">
        <v>74</v>
      </c>
      <c r="AZ571" t="s">
        <v>74</v>
      </c>
      <c r="BA571" t="s">
        <v>74</v>
      </c>
      <c r="BB571">
        <v>803</v>
      </c>
      <c r="BC571">
        <v>820</v>
      </c>
      <c r="BD571" t="s">
        <v>74</v>
      </c>
      <c r="BE571" t="s">
        <v>8899</v>
      </c>
      <c r="BF571" t="str">
        <f>HYPERLINK("http://dx.doi.org/10.1256/qj.05.81","http://dx.doi.org/10.1256/qj.05.81")</f>
        <v>http://dx.doi.org/10.1256/qj.05.81</v>
      </c>
      <c r="BG571" t="s">
        <v>74</v>
      </c>
      <c r="BH571" t="s">
        <v>74</v>
      </c>
      <c r="BI571">
        <v>18</v>
      </c>
      <c r="BJ571" t="s">
        <v>869</v>
      </c>
      <c r="BK571" t="s">
        <v>97</v>
      </c>
      <c r="BL571" t="s">
        <v>869</v>
      </c>
      <c r="BM571" t="s">
        <v>8886</v>
      </c>
      <c r="BN571" t="s">
        <v>74</v>
      </c>
      <c r="BO571" t="s">
        <v>74</v>
      </c>
      <c r="BP571" t="s">
        <v>74</v>
      </c>
      <c r="BQ571" t="s">
        <v>74</v>
      </c>
      <c r="BR571" t="s">
        <v>100</v>
      </c>
      <c r="BS571" t="s">
        <v>8900</v>
      </c>
      <c r="BT571" t="str">
        <f>HYPERLINK("https%3A%2F%2Fwww.webofscience.com%2Fwos%2Fwoscc%2Ffull-record%2FWOS:000238278600006","View Full Record in Web of Science")</f>
        <v>View Full Record in Web of Science</v>
      </c>
    </row>
    <row r="572" spans="1:72" x14ac:dyDescent="0.15">
      <c r="A572" t="s">
        <v>72</v>
      </c>
      <c r="B572" t="s">
        <v>8901</v>
      </c>
      <c r="C572" t="s">
        <v>74</v>
      </c>
      <c r="D572" t="s">
        <v>74</v>
      </c>
      <c r="E572" t="s">
        <v>74</v>
      </c>
      <c r="F572" t="s">
        <v>8901</v>
      </c>
      <c r="G572" t="s">
        <v>74</v>
      </c>
      <c r="H572" t="s">
        <v>74</v>
      </c>
      <c r="I572" t="s">
        <v>8902</v>
      </c>
      <c r="J572" t="s">
        <v>5814</v>
      </c>
      <c r="K572" t="s">
        <v>74</v>
      </c>
      <c r="L572" t="s">
        <v>74</v>
      </c>
      <c r="M572" t="s">
        <v>78</v>
      </c>
      <c r="N572" t="s">
        <v>79</v>
      </c>
      <c r="O572" t="s">
        <v>74</v>
      </c>
      <c r="P572" t="s">
        <v>74</v>
      </c>
      <c r="Q572" t="s">
        <v>74</v>
      </c>
      <c r="R572" t="s">
        <v>74</v>
      </c>
      <c r="S572" t="s">
        <v>74</v>
      </c>
      <c r="T572" t="s">
        <v>8903</v>
      </c>
      <c r="U572" t="s">
        <v>8904</v>
      </c>
      <c r="V572" t="s">
        <v>8905</v>
      </c>
      <c r="W572" t="s">
        <v>8906</v>
      </c>
      <c r="X572" t="s">
        <v>8907</v>
      </c>
      <c r="Y572" t="s">
        <v>8908</v>
      </c>
      <c r="Z572" t="s">
        <v>8909</v>
      </c>
      <c r="AA572" t="s">
        <v>8910</v>
      </c>
      <c r="AB572" t="s">
        <v>8911</v>
      </c>
      <c r="AC572" t="s">
        <v>74</v>
      </c>
      <c r="AD572" t="s">
        <v>74</v>
      </c>
      <c r="AE572" t="s">
        <v>74</v>
      </c>
      <c r="AF572" t="s">
        <v>74</v>
      </c>
      <c r="AG572">
        <v>46</v>
      </c>
      <c r="AH572">
        <v>166</v>
      </c>
      <c r="AI572">
        <v>208</v>
      </c>
      <c r="AJ572">
        <v>3</v>
      </c>
      <c r="AK572">
        <v>80</v>
      </c>
      <c r="AL572" t="s">
        <v>387</v>
      </c>
      <c r="AM572" t="s">
        <v>388</v>
      </c>
      <c r="AN572" t="s">
        <v>389</v>
      </c>
      <c r="AO572" t="s">
        <v>5825</v>
      </c>
      <c r="AP572" t="s">
        <v>8912</v>
      </c>
      <c r="AQ572" t="s">
        <v>74</v>
      </c>
      <c r="AR572" t="s">
        <v>5826</v>
      </c>
      <c r="AS572" t="s">
        <v>5827</v>
      </c>
      <c r="AT572" t="s">
        <v>8038</v>
      </c>
      <c r="AU572">
        <v>2006</v>
      </c>
      <c r="AV572">
        <v>38</v>
      </c>
      <c r="AW572">
        <v>4</v>
      </c>
      <c r="AX572" t="s">
        <v>74</v>
      </c>
      <c r="AY572" t="s">
        <v>74</v>
      </c>
      <c r="AZ572" t="s">
        <v>74</v>
      </c>
      <c r="BA572" t="s">
        <v>74</v>
      </c>
      <c r="BB572">
        <v>785</v>
      </c>
      <c r="BC572">
        <v>794</v>
      </c>
      <c r="BD572" t="s">
        <v>74</v>
      </c>
      <c r="BE572" t="s">
        <v>8913</v>
      </c>
      <c r="BF572" t="str">
        <f>HYPERLINK("http://dx.doi.org/10.1016/j.soilbio.2005.07.004","http://dx.doi.org/10.1016/j.soilbio.2005.07.004")</f>
        <v>http://dx.doi.org/10.1016/j.soilbio.2005.07.004</v>
      </c>
      <c r="BG572" t="s">
        <v>74</v>
      </c>
      <c r="BH572" t="s">
        <v>74</v>
      </c>
      <c r="BI572">
        <v>10</v>
      </c>
      <c r="BJ572" t="s">
        <v>5630</v>
      </c>
      <c r="BK572" t="s">
        <v>97</v>
      </c>
      <c r="BL572" t="s">
        <v>5631</v>
      </c>
      <c r="BM572" t="s">
        <v>8914</v>
      </c>
      <c r="BN572" t="s">
        <v>74</v>
      </c>
      <c r="BO572" t="s">
        <v>74</v>
      </c>
      <c r="BP572" t="s">
        <v>74</v>
      </c>
      <c r="BQ572" t="s">
        <v>74</v>
      </c>
      <c r="BR572" t="s">
        <v>100</v>
      </c>
      <c r="BS572" t="s">
        <v>8915</v>
      </c>
      <c r="BT572" t="str">
        <f>HYPERLINK("https%3A%2F%2Fwww.webofscience.com%2Fwos%2Fwoscc%2Ffull-record%2FWOS:000237051600016","View Full Record in Web of Science")</f>
        <v>View Full Record in Web of Science</v>
      </c>
    </row>
    <row r="573" spans="1:72" x14ac:dyDescent="0.15">
      <c r="A573" t="s">
        <v>72</v>
      </c>
      <c r="B573" t="s">
        <v>8916</v>
      </c>
      <c r="C573" t="s">
        <v>74</v>
      </c>
      <c r="D573" t="s">
        <v>74</v>
      </c>
      <c r="E573" t="s">
        <v>74</v>
      </c>
      <c r="F573" t="s">
        <v>8917</v>
      </c>
      <c r="G573" t="s">
        <v>74</v>
      </c>
      <c r="H573" t="s">
        <v>74</v>
      </c>
      <c r="I573" t="s">
        <v>8918</v>
      </c>
      <c r="J573" t="s">
        <v>8919</v>
      </c>
      <c r="K573" t="s">
        <v>74</v>
      </c>
      <c r="L573" t="s">
        <v>74</v>
      </c>
      <c r="M573" t="s">
        <v>78</v>
      </c>
      <c r="N573" t="s">
        <v>79</v>
      </c>
      <c r="O573" t="s">
        <v>74</v>
      </c>
      <c r="P573" t="s">
        <v>74</v>
      </c>
      <c r="Q573" t="s">
        <v>74</v>
      </c>
      <c r="R573" t="s">
        <v>74</v>
      </c>
      <c r="S573" t="s">
        <v>74</v>
      </c>
      <c r="T573" t="s">
        <v>8920</v>
      </c>
      <c r="U573" t="s">
        <v>8921</v>
      </c>
      <c r="V573" t="s">
        <v>8922</v>
      </c>
      <c r="W573" t="s">
        <v>8923</v>
      </c>
      <c r="X573" t="s">
        <v>8028</v>
      </c>
      <c r="Y573" t="s">
        <v>8924</v>
      </c>
      <c r="Z573" t="s">
        <v>8073</v>
      </c>
      <c r="AA573" t="s">
        <v>8925</v>
      </c>
      <c r="AB573" t="s">
        <v>8926</v>
      </c>
      <c r="AC573" t="s">
        <v>74</v>
      </c>
      <c r="AD573" t="s">
        <v>74</v>
      </c>
      <c r="AE573" t="s">
        <v>74</v>
      </c>
      <c r="AF573" t="s">
        <v>74</v>
      </c>
      <c r="AG573">
        <v>62</v>
      </c>
      <c r="AH573">
        <v>63</v>
      </c>
      <c r="AI573">
        <v>68</v>
      </c>
      <c r="AJ573">
        <v>0</v>
      </c>
      <c r="AK573">
        <v>10</v>
      </c>
      <c r="AL573" t="s">
        <v>8927</v>
      </c>
      <c r="AM573" t="s">
        <v>8928</v>
      </c>
      <c r="AN573" t="s">
        <v>8929</v>
      </c>
      <c r="AO573" t="s">
        <v>8930</v>
      </c>
      <c r="AP573" t="s">
        <v>8931</v>
      </c>
      <c r="AQ573" t="s">
        <v>74</v>
      </c>
      <c r="AR573" t="s">
        <v>8932</v>
      </c>
      <c r="AS573" t="s">
        <v>8933</v>
      </c>
      <c r="AT573" t="s">
        <v>8038</v>
      </c>
      <c r="AU573">
        <v>2006</v>
      </c>
      <c r="AV573">
        <v>36</v>
      </c>
      <c r="AW573">
        <v>1</v>
      </c>
      <c r="AX573" t="s">
        <v>74</v>
      </c>
      <c r="AY573" t="s">
        <v>74</v>
      </c>
      <c r="AZ573" t="s">
        <v>74</v>
      </c>
      <c r="BA573" t="s">
        <v>74</v>
      </c>
      <c r="BB573">
        <v>55</v>
      </c>
      <c r="BC573">
        <v>68</v>
      </c>
      <c r="BD573" t="s">
        <v>74</v>
      </c>
      <c r="BE573" t="s">
        <v>74</v>
      </c>
      <c r="BF573" t="s">
        <v>74</v>
      </c>
      <c r="BG573" t="s">
        <v>74</v>
      </c>
      <c r="BH573" t="s">
        <v>74</v>
      </c>
      <c r="BI573">
        <v>14</v>
      </c>
      <c r="BJ573" t="s">
        <v>6953</v>
      </c>
      <c r="BK573" t="s">
        <v>97</v>
      </c>
      <c r="BL573" t="s">
        <v>6954</v>
      </c>
      <c r="BM573" t="s">
        <v>8934</v>
      </c>
      <c r="BN573" t="s">
        <v>74</v>
      </c>
      <c r="BO573" t="s">
        <v>74</v>
      </c>
      <c r="BP573" t="s">
        <v>74</v>
      </c>
      <c r="BQ573" t="s">
        <v>74</v>
      </c>
      <c r="BR573" t="s">
        <v>100</v>
      </c>
      <c r="BS573" t="s">
        <v>8935</v>
      </c>
      <c r="BT573" t="str">
        <f>HYPERLINK("https%3A%2F%2Fwww.webofscience.com%2Fwos%2Fwoscc%2Ffull-record%2FWOS:000238536400006","View Full Record in Web of Science")</f>
        <v>View Full Record in Web of Science</v>
      </c>
    </row>
    <row r="574" spans="1:72" x14ac:dyDescent="0.15">
      <c r="A574" t="s">
        <v>72</v>
      </c>
      <c r="B574" t="s">
        <v>8936</v>
      </c>
      <c r="C574" t="s">
        <v>74</v>
      </c>
      <c r="D574" t="s">
        <v>74</v>
      </c>
      <c r="E574" t="s">
        <v>74</v>
      </c>
      <c r="F574" t="s">
        <v>8937</v>
      </c>
      <c r="G574" t="s">
        <v>74</v>
      </c>
      <c r="H574" t="s">
        <v>74</v>
      </c>
      <c r="I574" t="s">
        <v>8938</v>
      </c>
      <c r="J574" t="s">
        <v>8939</v>
      </c>
      <c r="K574" t="s">
        <v>74</v>
      </c>
      <c r="L574" t="s">
        <v>74</v>
      </c>
      <c r="M574" t="s">
        <v>78</v>
      </c>
      <c r="N574" t="s">
        <v>511</v>
      </c>
      <c r="O574" t="s">
        <v>74</v>
      </c>
      <c r="P574" t="s">
        <v>74</v>
      </c>
      <c r="Q574" t="s">
        <v>74</v>
      </c>
      <c r="R574" t="s">
        <v>74</v>
      </c>
      <c r="S574" t="s">
        <v>74</v>
      </c>
      <c r="T574" t="s">
        <v>8940</v>
      </c>
      <c r="U574" t="s">
        <v>8941</v>
      </c>
      <c r="V574" t="s">
        <v>8942</v>
      </c>
      <c r="W574" t="s">
        <v>8943</v>
      </c>
      <c r="X574" t="s">
        <v>8944</v>
      </c>
      <c r="Y574" t="s">
        <v>8945</v>
      </c>
      <c r="Z574" t="s">
        <v>8946</v>
      </c>
      <c r="AA574" t="s">
        <v>8947</v>
      </c>
      <c r="AB574" t="s">
        <v>8948</v>
      </c>
      <c r="AC574" t="s">
        <v>74</v>
      </c>
      <c r="AD574" t="s">
        <v>74</v>
      </c>
      <c r="AE574" t="s">
        <v>74</v>
      </c>
      <c r="AF574" t="s">
        <v>74</v>
      </c>
      <c r="AG574">
        <v>28</v>
      </c>
      <c r="AH574">
        <v>25</v>
      </c>
      <c r="AI574">
        <v>27</v>
      </c>
      <c r="AJ574">
        <v>0</v>
      </c>
      <c r="AK574">
        <v>5</v>
      </c>
      <c r="AL574" t="s">
        <v>994</v>
      </c>
      <c r="AM574" t="s">
        <v>4805</v>
      </c>
      <c r="AN574" t="s">
        <v>4806</v>
      </c>
      <c r="AO574" t="s">
        <v>8949</v>
      </c>
      <c r="AP574" t="s">
        <v>8950</v>
      </c>
      <c r="AQ574" t="s">
        <v>74</v>
      </c>
      <c r="AR574" t="s">
        <v>8951</v>
      </c>
      <c r="AS574" t="s">
        <v>8952</v>
      </c>
      <c r="AT574" t="s">
        <v>8038</v>
      </c>
      <c r="AU574">
        <v>2006</v>
      </c>
      <c r="AV574">
        <v>125</v>
      </c>
      <c r="AW574" t="s">
        <v>7503</v>
      </c>
      <c r="AX574" t="s">
        <v>74</v>
      </c>
      <c r="AY574" t="s">
        <v>74</v>
      </c>
      <c r="AZ574" t="s">
        <v>74</v>
      </c>
      <c r="BA574" t="s">
        <v>74</v>
      </c>
      <c r="BB574">
        <v>403</v>
      </c>
      <c r="BC574">
        <v>416</v>
      </c>
      <c r="BD574" t="s">
        <v>74</v>
      </c>
      <c r="BE574" t="s">
        <v>8953</v>
      </c>
      <c r="BF574" t="str">
        <f>HYPERLINK("http://dx.doi.org/10.1007/s11214-006-9073-2","http://dx.doi.org/10.1007/s11214-006-9073-2")</f>
        <v>http://dx.doi.org/10.1007/s11214-006-9073-2</v>
      </c>
      <c r="BG574" t="s">
        <v>74</v>
      </c>
      <c r="BH574" t="s">
        <v>74</v>
      </c>
      <c r="BI574">
        <v>14</v>
      </c>
      <c r="BJ574" t="s">
        <v>1637</v>
      </c>
      <c r="BK574" t="s">
        <v>97</v>
      </c>
      <c r="BL574" t="s">
        <v>1637</v>
      </c>
      <c r="BM574" t="s">
        <v>8954</v>
      </c>
      <c r="BN574" t="s">
        <v>74</v>
      </c>
      <c r="BO574" t="s">
        <v>74</v>
      </c>
      <c r="BP574" t="s">
        <v>74</v>
      </c>
      <c r="BQ574" t="s">
        <v>74</v>
      </c>
      <c r="BR574" t="s">
        <v>100</v>
      </c>
      <c r="BS574" t="s">
        <v>8955</v>
      </c>
      <c r="BT574" t="str">
        <f>HYPERLINK("https%3A%2F%2Fwww.webofscience.com%2Fwos%2Fwoscc%2Ffull-record%2FWOS:000244449400033","View Full Record in Web of Science")</f>
        <v>View Full Record in Web of Science</v>
      </c>
    </row>
    <row r="575" spans="1:72" x14ac:dyDescent="0.15">
      <c r="A575" t="s">
        <v>72</v>
      </c>
      <c r="B575" t="s">
        <v>8956</v>
      </c>
      <c r="C575" t="s">
        <v>74</v>
      </c>
      <c r="D575" t="s">
        <v>74</v>
      </c>
      <c r="E575" t="s">
        <v>74</v>
      </c>
      <c r="F575" t="s">
        <v>8956</v>
      </c>
      <c r="G575" t="s">
        <v>74</v>
      </c>
      <c r="H575" t="s">
        <v>74</v>
      </c>
      <c r="I575" t="s">
        <v>8957</v>
      </c>
      <c r="J575" t="s">
        <v>8958</v>
      </c>
      <c r="K575" t="s">
        <v>74</v>
      </c>
      <c r="L575" t="s">
        <v>74</v>
      </c>
      <c r="M575" t="s">
        <v>78</v>
      </c>
      <c r="N575" t="s">
        <v>79</v>
      </c>
      <c r="O575" t="s">
        <v>74</v>
      </c>
      <c r="P575" t="s">
        <v>74</v>
      </c>
      <c r="Q575" t="s">
        <v>74</v>
      </c>
      <c r="R575" t="s">
        <v>74</v>
      </c>
      <c r="S575" t="s">
        <v>74</v>
      </c>
      <c r="T575" t="s">
        <v>8959</v>
      </c>
      <c r="U575" t="s">
        <v>8960</v>
      </c>
      <c r="V575" t="s">
        <v>8961</v>
      </c>
      <c r="W575" t="s">
        <v>8962</v>
      </c>
      <c r="X575" t="s">
        <v>8963</v>
      </c>
      <c r="Y575" t="s">
        <v>8964</v>
      </c>
      <c r="Z575" t="s">
        <v>8965</v>
      </c>
      <c r="AA575" t="s">
        <v>74</v>
      </c>
      <c r="AB575" t="s">
        <v>74</v>
      </c>
      <c r="AC575" t="s">
        <v>74</v>
      </c>
      <c r="AD575" t="s">
        <v>74</v>
      </c>
      <c r="AE575" t="s">
        <v>74</v>
      </c>
      <c r="AF575" t="s">
        <v>74</v>
      </c>
      <c r="AG575">
        <v>20</v>
      </c>
      <c r="AH575">
        <v>8</v>
      </c>
      <c r="AI575">
        <v>9</v>
      </c>
      <c r="AJ575">
        <v>0</v>
      </c>
      <c r="AK575">
        <v>6</v>
      </c>
      <c r="AL575" t="s">
        <v>8966</v>
      </c>
      <c r="AM575" t="s">
        <v>8967</v>
      </c>
      <c r="AN575" t="s">
        <v>8968</v>
      </c>
      <c r="AO575" t="s">
        <v>8969</v>
      </c>
      <c r="AP575" t="s">
        <v>74</v>
      </c>
      <c r="AQ575" t="s">
        <v>74</v>
      </c>
      <c r="AR575" t="s">
        <v>8970</v>
      </c>
      <c r="AS575" t="s">
        <v>8971</v>
      </c>
      <c r="AT575" t="s">
        <v>8365</v>
      </c>
      <c r="AU575">
        <v>2006</v>
      </c>
      <c r="AV575">
        <v>31</v>
      </c>
      <c r="AW575">
        <v>2</v>
      </c>
      <c r="AX575" t="s">
        <v>74</v>
      </c>
      <c r="AY575" t="s">
        <v>74</v>
      </c>
      <c r="AZ575" t="s">
        <v>74</v>
      </c>
      <c r="BA575" t="s">
        <v>74</v>
      </c>
      <c r="BB575">
        <v>247</v>
      </c>
      <c r="BC575">
        <v>257</v>
      </c>
      <c r="BD575" t="s">
        <v>74</v>
      </c>
      <c r="BE575" t="s">
        <v>8972</v>
      </c>
      <c r="BF575" t="str">
        <f>HYPERLINK("http://dx.doi.org/10.1600/036364406777585694","http://dx.doi.org/10.1600/036364406777585694")</f>
        <v>http://dx.doi.org/10.1600/036364406777585694</v>
      </c>
      <c r="BG575" t="s">
        <v>74</v>
      </c>
      <c r="BH575" t="s">
        <v>74</v>
      </c>
      <c r="BI575">
        <v>11</v>
      </c>
      <c r="BJ575" t="s">
        <v>8973</v>
      </c>
      <c r="BK575" t="s">
        <v>97</v>
      </c>
      <c r="BL575" t="s">
        <v>8973</v>
      </c>
      <c r="BM575" t="s">
        <v>8974</v>
      </c>
      <c r="BN575" t="s">
        <v>74</v>
      </c>
      <c r="BO575" t="s">
        <v>74</v>
      </c>
      <c r="BP575" t="s">
        <v>74</v>
      </c>
      <c r="BQ575" t="s">
        <v>74</v>
      </c>
      <c r="BR575" t="s">
        <v>100</v>
      </c>
      <c r="BS575" t="s">
        <v>8975</v>
      </c>
      <c r="BT575" t="str">
        <f>HYPERLINK("https%3A%2F%2Fwww.webofscience.com%2Fwos%2Fwoscc%2Ffull-record%2FWOS:000238281000003","View Full Record in Web of Science")</f>
        <v>View Full Record in Web of Science</v>
      </c>
    </row>
    <row r="576" spans="1:72" x14ac:dyDescent="0.15">
      <c r="A576" t="s">
        <v>72</v>
      </c>
      <c r="B576" t="s">
        <v>8976</v>
      </c>
      <c r="C576" t="s">
        <v>74</v>
      </c>
      <c r="D576" t="s">
        <v>74</v>
      </c>
      <c r="E576" t="s">
        <v>74</v>
      </c>
      <c r="F576" t="s">
        <v>8977</v>
      </c>
      <c r="G576" t="s">
        <v>74</v>
      </c>
      <c r="H576" t="s">
        <v>74</v>
      </c>
      <c r="I576" t="s">
        <v>8978</v>
      </c>
      <c r="J576" t="s">
        <v>8979</v>
      </c>
      <c r="K576" t="s">
        <v>74</v>
      </c>
      <c r="L576" t="s">
        <v>74</v>
      </c>
      <c r="M576" t="s">
        <v>78</v>
      </c>
      <c r="N576" t="s">
        <v>79</v>
      </c>
      <c r="O576" t="s">
        <v>74</v>
      </c>
      <c r="P576" t="s">
        <v>74</v>
      </c>
      <c r="Q576" t="s">
        <v>74</v>
      </c>
      <c r="R576" t="s">
        <v>74</v>
      </c>
      <c r="S576" t="s">
        <v>74</v>
      </c>
      <c r="T576" t="s">
        <v>8980</v>
      </c>
      <c r="U576" t="s">
        <v>8981</v>
      </c>
      <c r="V576" t="s">
        <v>8982</v>
      </c>
      <c r="W576" t="s">
        <v>8983</v>
      </c>
      <c r="X576" t="s">
        <v>8984</v>
      </c>
      <c r="Y576" t="s">
        <v>8985</v>
      </c>
      <c r="Z576" t="s">
        <v>8986</v>
      </c>
      <c r="AA576" t="s">
        <v>8987</v>
      </c>
      <c r="AB576" t="s">
        <v>8988</v>
      </c>
      <c r="AC576" t="s">
        <v>74</v>
      </c>
      <c r="AD576" t="s">
        <v>74</v>
      </c>
      <c r="AE576" t="s">
        <v>74</v>
      </c>
      <c r="AF576" t="s">
        <v>74</v>
      </c>
      <c r="AG576">
        <v>20</v>
      </c>
      <c r="AH576">
        <v>6</v>
      </c>
      <c r="AI576">
        <v>9</v>
      </c>
      <c r="AJ576">
        <v>0</v>
      </c>
      <c r="AK576">
        <v>8</v>
      </c>
      <c r="AL576" t="s">
        <v>994</v>
      </c>
      <c r="AM576" t="s">
        <v>476</v>
      </c>
      <c r="AN576" t="s">
        <v>1519</v>
      </c>
      <c r="AO576" t="s">
        <v>8989</v>
      </c>
      <c r="AP576" t="s">
        <v>8990</v>
      </c>
      <c r="AQ576" t="s">
        <v>74</v>
      </c>
      <c r="AR576" t="s">
        <v>8991</v>
      </c>
      <c r="AS576" t="s">
        <v>8992</v>
      </c>
      <c r="AT576" t="s">
        <v>8038</v>
      </c>
      <c r="AU576">
        <v>2006</v>
      </c>
      <c r="AV576">
        <v>22</v>
      </c>
      <c r="AW576">
        <v>4</v>
      </c>
      <c r="AX576" t="s">
        <v>74</v>
      </c>
      <c r="AY576" t="s">
        <v>74</v>
      </c>
      <c r="AZ576" t="s">
        <v>74</v>
      </c>
      <c r="BA576" t="s">
        <v>74</v>
      </c>
      <c r="BB576">
        <v>311</v>
      </c>
      <c r="BC576">
        <v>316</v>
      </c>
      <c r="BD576" t="s">
        <v>74</v>
      </c>
      <c r="BE576" t="s">
        <v>8993</v>
      </c>
      <c r="BF576" t="str">
        <f>HYPERLINK("http://dx.doi.org/10.1007/s11274-005-9010-7","http://dx.doi.org/10.1007/s11274-005-9010-7")</f>
        <v>http://dx.doi.org/10.1007/s11274-005-9010-7</v>
      </c>
      <c r="BG576" t="s">
        <v>74</v>
      </c>
      <c r="BH576" t="s">
        <v>74</v>
      </c>
      <c r="BI576">
        <v>6</v>
      </c>
      <c r="BJ576" t="s">
        <v>8994</v>
      </c>
      <c r="BK576" t="s">
        <v>97</v>
      </c>
      <c r="BL576" t="s">
        <v>8994</v>
      </c>
      <c r="BM576" t="s">
        <v>8995</v>
      </c>
      <c r="BN576" t="s">
        <v>74</v>
      </c>
      <c r="BO576" t="s">
        <v>74</v>
      </c>
      <c r="BP576" t="s">
        <v>74</v>
      </c>
      <c r="BQ576" t="s">
        <v>74</v>
      </c>
      <c r="BR576" t="s">
        <v>100</v>
      </c>
      <c r="BS576" t="s">
        <v>8996</v>
      </c>
      <c r="BT576" t="str">
        <f>HYPERLINK("https%3A%2F%2Fwww.webofscience.com%2Fwos%2Fwoscc%2Ffull-record%2FWOS:000237650400001","View Full Record in Web of Science")</f>
        <v>View Full Record in Web of Science</v>
      </c>
    </row>
    <row r="577" spans="1:72" x14ac:dyDescent="0.15">
      <c r="A577" t="s">
        <v>72</v>
      </c>
      <c r="B577" t="s">
        <v>8997</v>
      </c>
      <c r="C577" t="s">
        <v>74</v>
      </c>
      <c r="D577" t="s">
        <v>74</v>
      </c>
      <c r="E577" t="s">
        <v>74</v>
      </c>
      <c r="F577" t="s">
        <v>8997</v>
      </c>
      <c r="G577" t="s">
        <v>74</v>
      </c>
      <c r="H577" t="s">
        <v>74</v>
      </c>
      <c r="I577" t="s">
        <v>8998</v>
      </c>
      <c r="J577" t="s">
        <v>1748</v>
      </c>
      <c r="K577" t="s">
        <v>74</v>
      </c>
      <c r="L577" t="s">
        <v>74</v>
      </c>
      <c r="M577" t="s">
        <v>78</v>
      </c>
      <c r="N577" t="s">
        <v>79</v>
      </c>
      <c r="O577" t="s">
        <v>74</v>
      </c>
      <c r="P577" t="s">
        <v>74</v>
      </c>
      <c r="Q577" t="s">
        <v>74</v>
      </c>
      <c r="R577" t="s">
        <v>74</v>
      </c>
      <c r="S577" t="s">
        <v>74</v>
      </c>
      <c r="T577" t="s">
        <v>74</v>
      </c>
      <c r="U577" t="s">
        <v>8999</v>
      </c>
      <c r="V577" t="s">
        <v>9000</v>
      </c>
      <c r="W577" t="s">
        <v>9001</v>
      </c>
      <c r="X577" t="s">
        <v>9002</v>
      </c>
      <c r="Y577" t="s">
        <v>9003</v>
      </c>
      <c r="Z577" t="s">
        <v>9004</v>
      </c>
      <c r="AA577" t="s">
        <v>9005</v>
      </c>
      <c r="AB577" t="s">
        <v>9006</v>
      </c>
      <c r="AC577" t="s">
        <v>9007</v>
      </c>
      <c r="AD577" t="s">
        <v>1328</v>
      </c>
      <c r="AE577" t="s">
        <v>74</v>
      </c>
      <c r="AF577" t="s">
        <v>74</v>
      </c>
      <c r="AG577">
        <v>17</v>
      </c>
      <c r="AH577">
        <v>15</v>
      </c>
      <c r="AI577">
        <v>18</v>
      </c>
      <c r="AJ577">
        <v>1</v>
      </c>
      <c r="AK577">
        <v>4</v>
      </c>
      <c r="AL577" t="s">
        <v>1757</v>
      </c>
      <c r="AM577" t="s">
        <v>88</v>
      </c>
      <c r="AN577" t="s">
        <v>1758</v>
      </c>
      <c r="AO577" t="s">
        <v>1759</v>
      </c>
      <c r="AP577" t="s">
        <v>1760</v>
      </c>
      <c r="AQ577" t="s">
        <v>74</v>
      </c>
      <c r="AR577" t="s">
        <v>1761</v>
      </c>
      <c r="AS577" t="s">
        <v>1762</v>
      </c>
      <c r="AT577" t="s">
        <v>9008</v>
      </c>
      <c r="AU577">
        <v>2006</v>
      </c>
      <c r="AV577">
        <v>33</v>
      </c>
      <c r="AW577">
        <v>6</v>
      </c>
      <c r="AX577" t="s">
        <v>74</v>
      </c>
      <c r="AY577" t="s">
        <v>74</v>
      </c>
      <c r="AZ577" t="s">
        <v>74</v>
      </c>
      <c r="BA577" t="s">
        <v>74</v>
      </c>
      <c r="BB577" t="s">
        <v>74</v>
      </c>
      <c r="BC577" t="s">
        <v>74</v>
      </c>
      <c r="BD577" t="s">
        <v>9009</v>
      </c>
      <c r="BE577" t="s">
        <v>9010</v>
      </c>
      <c r="BF577" t="str">
        <f>HYPERLINK("http://dx.doi.org/10.1029/2005GL025474","http://dx.doi.org/10.1029/2005GL025474")</f>
        <v>http://dx.doi.org/10.1029/2005GL025474</v>
      </c>
      <c r="BG577" t="s">
        <v>74</v>
      </c>
      <c r="BH577" t="s">
        <v>74</v>
      </c>
      <c r="BI577">
        <v>4</v>
      </c>
      <c r="BJ577" t="s">
        <v>527</v>
      </c>
      <c r="BK577" t="s">
        <v>97</v>
      </c>
      <c r="BL577" t="s">
        <v>528</v>
      </c>
      <c r="BM577" t="s">
        <v>9011</v>
      </c>
      <c r="BN577" t="s">
        <v>74</v>
      </c>
      <c r="BO577" t="s">
        <v>460</v>
      </c>
      <c r="BP577" t="s">
        <v>74</v>
      </c>
      <c r="BQ577" t="s">
        <v>74</v>
      </c>
      <c r="BR577" t="s">
        <v>100</v>
      </c>
      <c r="BS577" t="s">
        <v>9012</v>
      </c>
      <c r="BT577" t="str">
        <f>HYPERLINK("https%3A%2F%2Fwww.webofscience.com%2Fwos%2Fwoscc%2Ffull-record%2FWOS:000236729700003","View Full Record in Web of Science")</f>
        <v>View Full Record in Web of Science</v>
      </c>
    </row>
    <row r="578" spans="1:72" x14ac:dyDescent="0.15">
      <c r="A578" t="s">
        <v>72</v>
      </c>
      <c r="B578" t="s">
        <v>9013</v>
      </c>
      <c r="C578" t="s">
        <v>74</v>
      </c>
      <c r="D578" t="s">
        <v>74</v>
      </c>
      <c r="E578" t="s">
        <v>74</v>
      </c>
      <c r="F578" t="s">
        <v>9013</v>
      </c>
      <c r="G578" t="s">
        <v>74</v>
      </c>
      <c r="H578" t="s">
        <v>74</v>
      </c>
      <c r="I578" t="s">
        <v>9014</v>
      </c>
      <c r="J578" t="s">
        <v>9015</v>
      </c>
      <c r="K578" t="s">
        <v>74</v>
      </c>
      <c r="L578" t="s">
        <v>74</v>
      </c>
      <c r="M578" t="s">
        <v>78</v>
      </c>
      <c r="N578" t="s">
        <v>79</v>
      </c>
      <c r="O578" t="s">
        <v>74</v>
      </c>
      <c r="P578" t="s">
        <v>74</v>
      </c>
      <c r="Q578" t="s">
        <v>74</v>
      </c>
      <c r="R578" t="s">
        <v>74</v>
      </c>
      <c r="S578" t="s">
        <v>74</v>
      </c>
      <c r="T578" t="s">
        <v>9016</v>
      </c>
      <c r="U578" t="s">
        <v>9017</v>
      </c>
      <c r="V578" t="s">
        <v>9018</v>
      </c>
      <c r="W578" t="s">
        <v>9019</v>
      </c>
      <c r="X578" t="s">
        <v>9020</v>
      </c>
      <c r="Y578" t="s">
        <v>9021</v>
      </c>
      <c r="Z578" t="s">
        <v>9022</v>
      </c>
      <c r="AA578" t="s">
        <v>9023</v>
      </c>
      <c r="AB578" t="s">
        <v>9024</v>
      </c>
      <c r="AC578" t="s">
        <v>74</v>
      </c>
      <c r="AD578" t="s">
        <v>74</v>
      </c>
      <c r="AE578" t="s">
        <v>74</v>
      </c>
      <c r="AF578" t="s">
        <v>74</v>
      </c>
      <c r="AG578">
        <v>24</v>
      </c>
      <c r="AH578">
        <v>7</v>
      </c>
      <c r="AI578">
        <v>7</v>
      </c>
      <c r="AJ578">
        <v>0</v>
      </c>
      <c r="AK578">
        <v>7</v>
      </c>
      <c r="AL578" t="s">
        <v>519</v>
      </c>
      <c r="AM578" t="s">
        <v>520</v>
      </c>
      <c r="AN578" t="s">
        <v>521</v>
      </c>
      <c r="AO578" t="s">
        <v>9025</v>
      </c>
      <c r="AP578" t="s">
        <v>9026</v>
      </c>
      <c r="AQ578" t="s">
        <v>74</v>
      </c>
      <c r="AR578" t="s">
        <v>9027</v>
      </c>
      <c r="AS578" t="s">
        <v>9028</v>
      </c>
      <c r="AT578" t="s">
        <v>9008</v>
      </c>
      <c r="AU578">
        <v>2006</v>
      </c>
      <c r="AV578">
        <v>1110</v>
      </c>
      <c r="AW578" t="s">
        <v>765</v>
      </c>
      <c r="AX578" t="s">
        <v>74</v>
      </c>
      <c r="AY578" t="s">
        <v>74</v>
      </c>
      <c r="AZ578" t="s">
        <v>74</v>
      </c>
      <c r="BA578" t="s">
        <v>74</v>
      </c>
      <c r="BB578">
        <v>165</v>
      </c>
      <c r="BC578">
        <v>170</v>
      </c>
      <c r="BD578" t="s">
        <v>74</v>
      </c>
      <c r="BE578" t="s">
        <v>9029</v>
      </c>
      <c r="BF578" t="str">
        <f>HYPERLINK("http://dx.doi.org/10.1016/j.chroma.2006.01.064","http://dx.doi.org/10.1016/j.chroma.2006.01.064")</f>
        <v>http://dx.doi.org/10.1016/j.chroma.2006.01.064</v>
      </c>
      <c r="BG578" t="s">
        <v>74</v>
      </c>
      <c r="BH578" t="s">
        <v>74</v>
      </c>
      <c r="BI578">
        <v>6</v>
      </c>
      <c r="BJ578" t="s">
        <v>6394</v>
      </c>
      <c r="BK578" t="s">
        <v>97</v>
      </c>
      <c r="BL578" t="s">
        <v>6395</v>
      </c>
      <c r="BM578" t="s">
        <v>9030</v>
      </c>
      <c r="BN578">
        <v>16458909</v>
      </c>
      <c r="BO578" t="s">
        <v>74</v>
      </c>
      <c r="BP578" t="s">
        <v>74</v>
      </c>
      <c r="BQ578" t="s">
        <v>74</v>
      </c>
      <c r="BR578" t="s">
        <v>100</v>
      </c>
      <c r="BS578" t="s">
        <v>9031</v>
      </c>
      <c r="BT578" t="str">
        <f>HYPERLINK("https%3A%2F%2Fwww.webofscience.com%2Fwos%2Fwoscc%2Ffull-record%2FWOS:000236439000022","View Full Record in Web of Science")</f>
        <v>View Full Record in Web of Science</v>
      </c>
    </row>
    <row r="579" spans="1:72" x14ac:dyDescent="0.15">
      <c r="A579" t="s">
        <v>72</v>
      </c>
      <c r="B579" t="s">
        <v>9032</v>
      </c>
      <c r="C579" t="s">
        <v>74</v>
      </c>
      <c r="D579" t="s">
        <v>74</v>
      </c>
      <c r="E579" t="s">
        <v>74</v>
      </c>
      <c r="F579" t="s">
        <v>9032</v>
      </c>
      <c r="G579" t="s">
        <v>74</v>
      </c>
      <c r="H579" t="s">
        <v>74</v>
      </c>
      <c r="I579" t="s">
        <v>9033</v>
      </c>
      <c r="J579" t="s">
        <v>1828</v>
      </c>
      <c r="K579" t="s">
        <v>74</v>
      </c>
      <c r="L579" t="s">
        <v>74</v>
      </c>
      <c r="M579" t="s">
        <v>78</v>
      </c>
      <c r="N579" t="s">
        <v>79</v>
      </c>
      <c r="O579" t="s">
        <v>74</v>
      </c>
      <c r="P579" t="s">
        <v>74</v>
      </c>
      <c r="Q579" t="s">
        <v>74</v>
      </c>
      <c r="R579" t="s">
        <v>74</v>
      </c>
      <c r="S579" t="s">
        <v>74</v>
      </c>
      <c r="T579" t="s">
        <v>74</v>
      </c>
      <c r="U579" t="s">
        <v>9034</v>
      </c>
      <c r="V579" t="s">
        <v>9035</v>
      </c>
      <c r="W579" t="s">
        <v>2646</v>
      </c>
      <c r="X579" t="s">
        <v>407</v>
      </c>
      <c r="Y579" t="s">
        <v>9036</v>
      </c>
      <c r="Z579" t="s">
        <v>9037</v>
      </c>
      <c r="AA579" t="s">
        <v>74</v>
      </c>
      <c r="AB579" t="s">
        <v>9038</v>
      </c>
      <c r="AC579" t="s">
        <v>2214</v>
      </c>
      <c r="AD579" t="s">
        <v>413</v>
      </c>
      <c r="AE579" t="s">
        <v>74</v>
      </c>
      <c r="AF579" t="s">
        <v>74</v>
      </c>
      <c r="AG579">
        <v>21</v>
      </c>
      <c r="AH579">
        <v>110</v>
      </c>
      <c r="AI579">
        <v>129</v>
      </c>
      <c r="AJ579">
        <v>1</v>
      </c>
      <c r="AK579">
        <v>15</v>
      </c>
      <c r="AL579" t="s">
        <v>1836</v>
      </c>
      <c r="AM579" t="s">
        <v>88</v>
      </c>
      <c r="AN579" t="s">
        <v>1837</v>
      </c>
      <c r="AO579" t="s">
        <v>1838</v>
      </c>
      <c r="AP579" t="s">
        <v>1856</v>
      </c>
      <c r="AQ579" t="s">
        <v>74</v>
      </c>
      <c r="AR579" t="s">
        <v>1828</v>
      </c>
      <c r="AS579" t="s">
        <v>1839</v>
      </c>
      <c r="AT579" t="s">
        <v>9008</v>
      </c>
      <c r="AU579">
        <v>2006</v>
      </c>
      <c r="AV579">
        <v>311</v>
      </c>
      <c r="AW579">
        <v>5769</v>
      </c>
      <c r="AX579" t="s">
        <v>74</v>
      </c>
      <c r="AY579" t="s">
        <v>74</v>
      </c>
      <c r="AZ579" t="s">
        <v>74</v>
      </c>
      <c r="BA579" t="s">
        <v>74</v>
      </c>
      <c r="BB579">
        <v>1914</v>
      </c>
      <c r="BC579">
        <v>1917</v>
      </c>
      <c r="BD579" t="s">
        <v>74</v>
      </c>
      <c r="BE579" t="s">
        <v>9039</v>
      </c>
      <c r="BF579" t="str">
        <f>HYPERLINK("http://dx.doi.org/10.1126/science.1121652","http://dx.doi.org/10.1126/science.1121652")</f>
        <v>http://dx.doi.org/10.1126/science.1121652</v>
      </c>
      <c r="BG579" t="s">
        <v>74</v>
      </c>
      <c r="BH579" t="s">
        <v>74</v>
      </c>
      <c r="BI579">
        <v>4</v>
      </c>
      <c r="BJ579" t="s">
        <v>1841</v>
      </c>
      <c r="BK579" t="s">
        <v>97</v>
      </c>
      <c r="BL579" t="s">
        <v>1842</v>
      </c>
      <c r="BM579" t="s">
        <v>9040</v>
      </c>
      <c r="BN579">
        <v>16574865</v>
      </c>
      <c r="BO579" t="s">
        <v>74</v>
      </c>
      <c r="BP579" t="s">
        <v>74</v>
      </c>
      <c r="BQ579" t="s">
        <v>74</v>
      </c>
      <c r="BR579" t="s">
        <v>100</v>
      </c>
      <c r="BS579" t="s">
        <v>9041</v>
      </c>
      <c r="BT579" t="str">
        <f>HYPERLINK("https%3A%2F%2Fwww.webofscience.com%2Fwos%2Fwoscc%2Ffull-record%2FWOS:000236387800042","View Full Record in Web of Science")</f>
        <v>View Full Record in Web of Science</v>
      </c>
    </row>
    <row r="580" spans="1:72" x14ac:dyDescent="0.15">
      <c r="A580" t="s">
        <v>72</v>
      </c>
      <c r="B580" t="s">
        <v>9042</v>
      </c>
      <c r="C580" t="s">
        <v>74</v>
      </c>
      <c r="D580" t="s">
        <v>74</v>
      </c>
      <c r="E580" t="s">
        <v>74</v>
      </c>
      <c r="F580" t="s">
        <v>9042</v>
      </c>
      <c r="G580" t="s">
        <v>74</v>
      </c>
      <c r="H580" t="s">
        <v>74</v>
      </c>
      <c r="I580" t="s">
        <v>9043</v>
      </c>
      <c r="J580" t="s">
        <v>3745</v>
      </c>
      <c r="K580" t="s">
        <v>74</v>
      </c>
      <c r="L580" t="s">
        <v>74</v>
      </c>
      <c r="M580" t="s">
        <v>78</v>
      </c>
      <c r="N580" t="s">
        <v>79</v>
      </c>
      <c r="O580" t="s">
        <v>74</v>
      </c>
      <c r="P580" t="s">
        <v>74</v>
      </c>
      <c r="Q580" t="s">
        <v>74</v>
      </c>
      <c r="R580" t="s">
        <v>74</v>
      </c>
      <c r="S580" t="s">
        <v>74</v>
      </c>
      <c r="T580" t="s">
        <v>9044</v>
      </c>
      <c r="U580" t="s">
        <v>9045</v>
      </c>
      <c r="V580" t="s">
        <v>9046</v>
      </c>
      <c r="W580" t="s">
        <v>9047</v>
      </c>
      <c r="X580" t="s">
        <v>9048</v>
      </c>
      <c r="Y580" t="s">
        <v>9049</v>
      </c>
      <c r="Z580" t="s">
        <v>8496</v>
      </c>
      <c r="AA580" t="s">
        <v>9050</v>
      </c>
      <c r="AB580" t="s">
        <v>9051</v>
      </c>
      <c r="AC580" t="s">
        <v>74</v>
      </c>
      <c r="AD580" t="s">
        <v>74</v>
      </c>
      <c r="AE580" t="s">
        <v>74</v>
      </c>
      <c r="AF580" t="s">
        <v>74</v>
      </c>
      <c r="AG580">
        <v>60</v>
      </c>
      <c r="AH580">
        <v>37</v>
      </c>
      <c r="AI580">
        <v>45</v>
      </c>
      <c r="AJ580">
        <v>0</v>
      </c>
      <c r="AK580">
        <v>28</v>
      </c>
      <c r="AL580" t="s">
        <v>519</v>
      </c>
      <c r="AM580" t="s">
        <v>520</v>
      </c>
      <c r="AN580" t="s">
        <v>521</v>
      </c>
      <c r="AO580" t="s">
        <v>3753</v>
      </c>
      <c r="AP580" t="s">
        <v>3754</v>
      </c>
      <c r="AQ580" t="s">
        <v>74</v>
      </c>
      <c r="AR580" t="s">
        <v>3755</v>
      </c>
      <c r="AS580" t="s">
        <v>3756</v>
      </c>
      <c r="AT580" t="s">
        <v>9052</v>
      </c>
      <c r="AU580">
        <v>2006</v>
      </c>
      <c r="AV580">
        <v>243</v>
      </c>
      <c r="AW580" t="s">
        <v>1243</v>
      </c>
      <c r="AX580" t="s">
        <v>74</v>
      </c>
      <c r="AY580" t="s">
        <v>74</v>
      </c>
      <c r="AZ580" t="s">
        <v>74</v>
      </c>
      <c r="BA580" t="s">
        <v>74</v>
      </c>
      <c r="BB580">
        <v>424</v>
      </c>
      <c r="BC580">
        <v>438</v>
      </c>
      <c r="BD580" t="s">
        <v>74</v>
      </c>
      <c r="BE580" t="s">
        <v>9053</v>
      </c>
      <c r="BF580" t="str">
        <f>HYPERLINK("http://dx.doi.org/10.1016/j.epsl.2006.01.018","http://dx.doi.org/10.1016/j.epsl.2006.01.018")</f>
        <v>http://dx.doi.org/10.1016/j.epsl.2006.01.018</v>
      </c>
      <c r="BG580" t="s">
        <v>74</v>
      </c>
      <c r="BH580" t="s">
        <v>74</v>
      </c>
      <c r="BI580">
        <v>15</v>
      </c>
      <c r="BJ580" t="s">
        <v>608</v>
      </c>
      <c r="BK580" t="s">
        <v>97</v>
      </c>
      <c r="BL580" t="s">
        <v>608</v>
      </c>
      <c r="BM580" t="s">
        <v>9054</v>
      </c>
      <c r="BN580" t="s">
        <v>74</v>
      </c>
      <c r="BO580" t="s">
        <v>74</v>
      </c>
      <c r="BP580" t="s">
        <v>74</v>
      </c>
      <c r="BQ580" t="s">
        <v>74</v>
      </c>
      <c r="BR580" t="s">
        <v>100</v>
      </c>
      <c r="BS580" t="s">
        <v>9055</v>
      </c>
      <c r="BT580" t="str">
        <f>HYPERLINK("https%3A%2F%2Fwww.webofscience.com%2Fwos%2Fwoscc%2Ffull-record%2FWOS:000236600600011","View Full Record in Web of Science")</f>
        <v>View Full Record in Web of Science</v>
      </c>
    </row>
    <row r="581" spans="1:72" x14ac:dyDescent="0.15">
      <c r="A581" t="s">
        <v>72</v>
      </c>
      <c r="B581" t="s">
        <v>9056</v>
      </c>
      <c r="C581" t="s">
        <v>74</v>
      </c>
      <c r="D581" t="s">
        <v>74</v>
      </c>
      <c r="E581" t="s">
        <v>74</v>
      </c>
      <c r="F581" t="s">
        <v>9056</v>
      </c>
      <c r="G581" t="s">
        <v>74</v>
      </c>
      <c r="H581" t="s">
        <v>74</v>
      </c>
      <c r="I581" t="s">
        <v>9057</v>
      </c>
      <c r="J581" t="s">
        <v>3745</v>
      </c>
      <c r="K581" t="s">
        <v>74</v>
      </c>
      <c r="L581" t="s">
        <v>74</v>
      </c>
      <c r="M581" t="s">
        <v>78</v>
      </c>
      <c r="N581" t="s">
        <v>79</v>
      </c>
      <c r="O581" t="s">
        <v>74</v>
      </c>
      <c r="P581" t="s">
        <v>74</v>
      </c>
      <c r="Q581" t="s">
        <v>74</v>
      </c>
      <c r="R581" t="s">
        <v>74</v>
      </c>
      <c r="S581" t="s">
        <v>74</v>
      </c>
      <c r="T581" t="s">
        <v>9058</v>
      </c>
      <c r="U581" t="s">
        <v>9059</v>
      </c>
      <c r="V581" t="s">
        <v>9060</v>
      </c>
      <c r="W581" t="s">
        <v>9061</v>
      </c>
      <c r="X581" t="s">
        <v>9062</v>
      </c>
      <c r="Y581" t="s">
        <v>9063</v>
      </c>
      <c r="Z581" t="s">
        <v>9064</v>
      </c>
      <c r="AA581" t="s">
        <v>9065</v>
      </c>
      <c r="AB581" t="s">
        <v>9066</v>
      </c>
      <c r="AC581" t="s">
        <v>74</v>
      </c>
      <c r="AD581" t="s">
        <v>74</v>
      </c>
      <c r="AE581" t="s">
        <v>74</v>
      </c>
      <c r="AF581" t="s">
        <v>74</v>
      </c>
      <c r="AG581">
        <v>47</v>
      </c>
      <c r="AH581">
        <v>51</v>
      </c>
      <c r="AI581">
        <v>58</v>
      </c>
      <c r="AJ581">
        <v>0</v>
      </c>
      <c r="AK581">
        <v>14</v>
      </c>
      <c r="AL581" t="s">
        <v>519</v>
      </c>
      <c r="AM581" t="s">
        <v>520</v>
      </c>
      <c r="AN581" t="s">
        <v>521</v>
      </c>
      <c r="AO581" t="s">
        <v>3753</v>
      </c>
      <c r="AP581" t="s">
        <v>3754</v>
      </c>
      <c r="AQ581" t="s">
        <v>74</v>
      </c>
      <c r="AR581" t="s">
        <v>3755</v>
      </c>
      <c r="AS581" t="s">
        <v>3756</v>
      </c>
      <c r="AT581" t="s">
        <v>9052</v>
      </c>
      <c r="AU581">
        <v>2006</v>
      </c>
      <c r="AV581">
        <v>243</v>
      </c>
      <c r="AW581" t="s">
        <v>1243</v>
      </c>
      <c r="AX581" t="s">
        <v>74</v>
      </c>
      <c r="AY581" t="s">
        <v>74</v>
      </c>
      <c r="AZ581" t="s">
        <v>74</v>
      </c>
      <c r="BA581" t="s">
        <v>74</v>
      </c>
      <c r="BB581">
        <v>489</v>
      </c>
      <c r="BC581">
        <v>503</v>
      </c>
      <c r="BD581" t="s">
        <v>74</v>
      </c>
      <c r="BE581" t="s">
        <v>9067</v>
      </c>
      <c r="BF581" t="str">
        <f>HYPERLINK("http://dx.doi.org/10.1016/j.epsl.2006.01.037","http://dx.doi.org/10.1016/j.epsl.2006.01.037")</f>
        <v>http://dx.doi.org/10.1016/j.epsl.2006.01.037</v>
      </c>
      <c r="BG581" t="s">
        <v>74</v>
      </c>
      <c r="BH581" t="s">
        <v>74</v>
      </c>
      <c r="BI581">
        <v>15</v>
      </c>
      <c r="BJ581" t="s">
        <v>608</v>
      </c>
      <c r="BK581" t="s">
        <v>97</v>
      </c>
      <c r="BL581" t="s">
        <v>608</v>
      </c>
      <c r="BM581" t="s">
        <v>9054</v>
      </c>
      <c r="BN581" t="s">
        <v>74</v>
      </c>
      <c r="BO581" t="s">
        <v>74</v>
      </c>
      <c r="BP581" t="s">
        <v>74</v>
      </c>
      <c r="BQ581" t="s">
        <v>74</v>
      </c>
      <c r="BR581" t="s">
        <v>100</v>
      </c>
      <c r="BS581" t="s">
        <v>9068</v>
      </c>
      <c r="BT581" t="str">
        <f>HYPERLINK("https%3A%2F%2Fwww.webofscience.com%2Fwos%2Fwoscc%2Ffull-record%2FWOS:000236600600016","View Full Record in Web of Science")</f>
        <v>View Full Record in Web of Science</v>
      </c>
    </row>
    <row r="582" spans="1:72" x14ac:dyDescent="0.15">
      <c r="A582" t="s">
        <v>72</v>
      </c>
      <c r="B582" t="s">
        <v>9069</v>
      </c>
      <c r="C582" t="s">
        <v>74</v>
      </c>
      <c r="D582" t="s">
        <v>74</v>
      </c>
      <c r="E582" t="s">
        <v>74</v>
      </c>
      <c r="F582" t="s">
        <v>9069</v>
      </c>
      <c r="G582" t="s">
        <v>74</v>
      </c>
      <c r="H582" t="s">
        <v>74</v>
      </c>
      <c r="I582" t="s">
        <v>9070</v>
      </c>
      <c r="J582" t="s">
        <v>2354</v>
      </c>
      <c r="K582" t="s">
        <v>74</v>
      </c>
      <c r="L582" t="s">
        <v>74</v>
      </c>
      <c r="M582" t="s">
        <v>78</v>
      </c>
      <c r="N582" t="s">
        <v>79</v>
      </c>
      <c r="O582" t="s">
        <v>74</v>
      </c>
      <c r="P582" t="s">
        <v>74</v>
      </c>
      <c r="Q582" t="s">
        <v>74</v>
      </c>
      <c r="R582" t="s">
        <v>74</v>
      </c>
      <c r="S582" t="s">
        <v>74</v>
      </c>
      <c r="T582" t="s">
        <v>74</v>
      </c>
      <c r="U582" t="s">
        <v>9071</v>
      </c>
      <c r="V582" t="s">
        <v>9072</v>
      </c>
      <c r="W582" t="s">
        <v>9073</v>
      </c>
      <c r="X582" t="s">
        <v>9074</v>
      </c>
      <c r="Y582" t="s">
        <v>7528</v>
      </c>
      <c r="Z582" t="s">
        <v>9075</v>
      </c>
      <c r="AA582" t="s">
        <v>9076</v>
      </c>
      <c r="AB582" t="s">
        <v>9077</v>
      </c>
      <c r="AC582" t="s">
        <v>2337</v>
      </c>
      <c r="AD582" t="s">
        <v>1328</v>
      </c>
      <c r="AE582" t="s">
        <v>74</v>
      </c>
      <c r="AF582" t="s">
        <v>74</v>
      </c>
      <c r="AG582">
        <v>33</v>
      </c>
      <c r="AH582">
        <v>30</v>
      </c>
      <c r="AI582">
        <v>32</v>
      </c>
      <c r="AJ582">
        <v>0</v>
      </c>
      <c r="AK582">
        <v>3</v>
      </c>
      <c r="AL582" t="s">
        <v>1757</v>
      </c>
      <c r="AM582" t="s">
        <v>88</v>
      </c>
      <c r="AN582" t="s">
        <v>1758</v>
      </c>
      <c r="AO582" t="s">
        <v>2363</v>
      </c>
      <c r="AP582" t="s">
        <v>2364</v>
      </c>
      <c r="AQ582" t="s">
        <v>74</v>
      </c>
      <c r="AR582" t="s">
        <v>2365</v>
      </c>
      <c r="AS582" t="s">
        <v>2366</v>
      </c>
      <c r="AT582" t="s">
        <v>9052</v>
      </c>
      <c r="AU582">
        <v>2006</v>
      </c>
      <c r="AV582">
        <v>111</v>
      </c>
      <c r="AW582" t="s">
        <v>9078</v>
      </c>
      <c r="AX582" t="s">
        <v>74</v>
      </c>
      <c r="AY582" t="s">
        <v>74</v>
      </c>
      <c r="AZ582" t="s">
        <v>74</v>
      </c>
      <c r="BA582" t="s">
        <v>74</v>
      </c>
      <c r="BB582" t="s">
        <v>74</v>
      </c>
      <c r="BC582" t="s">
        <v>74</v>
      </c>
      <c r="BD582" t="s">
        <v>9079</v>
      </c>
      <c r="BE582" t="s">
        <v>9080</v>
      </c>
      <c r="BF582" t="str">
        <f>HYPERLINK("http://dx.doi.org/10.1029/2005JC003062","http://dx.doi.org/10.1029/2005JC003062")</f>
        <v>http://dx.doi.org/10.1029/2005JC003062</v>
      </c>
      <c r="BG582" t="s">
        <v>74</v>
      </c>
      <c r="BH582" t="s">
        <v>74</v>
      </c>
      <c r="BI582">
        <v>15</v>
      </c>
      <c r="BJ582" t="s">
        <v>1069</v>
      </c>
      <c r="BK582" t="s">
        <v>97</v>
      </c>
      <c r="BL582" t="s">
        <v>1069</v>
      </c>
      <c r="BM582" t="s">
        <v>9081</v>
      </c>
      <c r="BN582" t="s">
        <v>74</v>
      </c>
      <c r="BO582" t="s">
        <v>227</v>
      </c>
      <c r="BP582" t="s">
        <v>74</v>
      </c>
      <c r="BQ582" t="s">
        <v>74</v>
      </c>
      <c r="BR582" t="s">
        <v>100</v>
      </c>
      <c r="BS582" t="s">
        <v>9082</v>
      </c>
      <c r="BT582" t="str">
        <f>HYPERLINK("https%3A%2F%2Fwww.webofscience.com%2Fwos%2Fwoscc%2Ffull-record%2FWOS:000236731400002","View Full Record in Web of Science")</f>
        <v>View Full Record in Web of Science</v>
      </c>
    </row>
    <row r="583" spans="1:72" x14ac:dyDescent="0.15">
      <c r="A583" t="s">
        <v>72</v>
      </c>
      <c r="B583" t="s">
        <v>9083</v>
      </c>
      <c r="C583" t="s">
        <v>74</v>
      </c>
      <c r="D583" t="s">
        <v>74</v>
      </c>
      <c r="E583" t="s">
        <v>74</v>
      </c>
      <c r="F583" t="s">
        <v>9083</v>
      </c>
      <c r="G583" t="s">
        <v>74</v>
      </c>
      <c r="H583" t="s">
        <v>74</v>
      </c>
      <c r="I583" t="s">
        <v>9084</v>
      </c>
      <c r="J583" t="s">
        <v>3808</v>
      </c>
      <c r="K583" t="s">
        <v>74</v>
      </c>
      <c r="L583" t="s">
        <v>74</v>
      </c>
      <c r="M583" t="s">
        <v>78</v>
      </c>
      <c r="N583" t="s">
        <v>79</v>
      </c>
      <c r="O583" t="s">
        <v>74</v>
      </c>
      <c r="P583" t="s">
        <v>74</v>
      </c>
      <c r="Q583" t="s">
        <v>74</v>
      </c>
      <c r="R583" t="s">
        <v>74</v>
      </c>
      <c r="S583" t="s">
        <v>74</v>
      </c>
      <c r="T583" t="s">
        <v>9085</v>
      </c>
      <c r="U583" t="s">
        <v>9086</v>
      </c>
      <c r="V583" t="s">
        <v>9087</v>
      </c>
      <c r="W583" t="s">
        <v>9088</v>
      </c>
      <c r="X583" t="s">
        <v>9089</v>
      </c>
      <c r="Y583" t="s">
        <v>9090</v>
      </c>
      <c r="Z583" t="s">
        <v>9091</v>
      </c>
      <c r="AA583" t="s">
        <v>7500</v>
      </c>
      <c r="AB583" t="s">
        <v>9092</v>
      </c>
      <c r="AC583" t="s">
        <v>2096</v>
      </c>
      <c r="AD583" t="s">
        <v>413</v>
      </c>
      <c r="AE583" t="s">
        <v>74</v>
      </c>
      <c r="AF583" t="s">
        <v>74</v>
      </c>
      <c r="AG583">
        <v>47</v>
      </c>
      <c r="AH583">
        <v>35</v>
      </c>
      <c r="AI583">
        <v>36</v>
      </c>
      <c r="AJ583">
        <v>1</v>
      </c>
      <c r="AK583">
        <v>3</v>
      </c>
      <c r="AL583" t="s">
        <v>519</v>
      </c>
      <c r="AM583" t="s">
        <v>520</v>
      </c>
      <c r="AN583" t="s">
        <v>521</v>
      </c>
      <c r="AO583" t="s">
        <v>3816</v>
      </c>
      <c r="AP583" t="s">
        <v>3817</v>
      </c>
      <c r="AQ583" t="s">
        <v>74</v>
      </c>
      <c r="AR583" t="s">
        <v>3818</v>
      </c>
      <c r="AS583" t="s">
        <v>3819</v>
      </c>
      <c r="AT583" t="s">
        <v>9052</v>
      </c>
      <c r="AU583">
        <v>2006</v>
      </c>
      <c r="AV583">
        <v>227</v>
      </c>
      <c r="AW583" t="s">
        <v>1243</v>
      </c>
      <c r="AX583" t="s">
        <v>74</v>
      </c>
      <c r="AY583" t="s">
        <v>74</v>
      </c>
      <c r="AZ583" t="s">
        <v>74</v>
      </c>
      <c r="BA583" t="s">
        <v>74</v>
      </c>
      <c r="BB583">
        <v>279</v>
      </c>
      <c r="BC583">
        <v>298</v>
      </c>
      <c r="BD583" t="s">
        <v>74</v>
      </c>
      <c r="BE583" t="s">
        <v>9093</v>
      </c>
      <c r="BF583" t="str">
        <f>HYPERLINK("http://dx.doi.org/10.1016/j.margeo.2005.12.007","http://dx.doi.org/10.1016/j.margeo.2005.12.007")</f>
        <v>http://dx.doi.org/10.1016/j.margeo.2005.12.007</v>
      </c>
      <c r="BG583" t="s">
        <v>74</v>
      </c>
      <c r="BH583" t="s">
        <v>74</v>
      </c>
      <c r="BI583">
        <v>20</v>
      </c>
      <c r="BJ583" t="s">
        <v>3821</v>
      </c>
      <c r="BK583" t="s">
        <v>97</v>
      </c>
      <c r="BL583" t="s">
        <v>3822</v>
      </c>
      <c r="BM583" t="s">
        <v>9094</v>
      </c>
      <c r="BN583" t="s">
        <v>74</v>
      </c>
      <c r="BO583" t="s">
        <v>99</v>
      </c>
      <c r="BP583" t="s">
        <v>74</v>
      </c>
      <c r="BQ583" t="s">
        <v>74</v>
      </c>
      <c r="BR583" t="s">
        <v>100</v>
      </c>
      <c r="BS583" t="s">
        <v>9095</v>
      </c>
      <c r="BT583" t="str">
        <f>HYPERLINK("https%3A%2F%2Fwww.webofscience.com%2Fwos%2Fwoscc%2Ffull-record%2FWOS:000236342100008","View Full Record in Web of Science")</f>
        <v>View Full Record in Web of Science</v>
      </c>
    </row>
    <row r="584" spans="1:72" x14ac:dyDescent="0.15">
      <c r="A584" t="s">
        <v>72</v>
      </c>
      <c r="B584" t="s">
        <v>9096</v>
      </c>
      <c r="C584" t="s">
        <v>74</v>
      </c>
      <c r="D584" t="s">
        <v>74</v>
      </c>
      <c r="E584" t="s">
        <v>74</v>
      </c>
      <c r="F584" t="s">
        <v>9096</v>
      </c>
      <c r="G584" t="s">
        <v>74</v>
      </c>
      <c r="H584" t="s">
        <v>74</v>
      </c>
      <c r="I584" t="s">
        <v>9097</v>
      </c>
      <c r="J584" t="s">
        <v>9098</v>
      </c>
      <c r="K584" t="s">
        <v>74</v>
      </c>
      <c r="L584" t="s">
        <v>74</v>
      </c>
      <c r="M584" t="s">
        <v>78</v>
      </c>
      <c r="N584" t="s">
        <v>79</v>
      </c>
      <c r="O584" t="s">
        <v>74</v>
      </c>
      <c r="P584" t="s">
        <v>74</v>
      </c>
      <c r="Q584" t="s">
        <v>74</v>
      </c>
      <c r="R584" t="s">
        <v>74</v>
      </c>
      <c r="S584" t="s">
        <v>74</v>
      </c>
      <c r="T584" t="s">
        <v>9099</v>
      </c>
      <c r="U584" t="s">
        <v>9100</v>
      </c>
      <c r="V584" t="s">
        <v>9101</v>
      </c>
      <c r="W584" t="s">
        <v>9102</v>
      </c>
      <c r="X584" t="s">
        <v>9103</v>
      </c>
      <c r="Y584" t="s">
        <v>9104</v>
      </c>
      <c r="Z584" t="s">
        <v>9105</v>
      </c>
      <c r="AA584" t="s">
        <v>9106</v>
      </c>
      <c r="AB584" t="s">
        <v>9107</v>
      </c>
      <c r="AC584" t="s">
        <v>74</v>
      </c>
      <c r="AD584" t="s">
        <v>74</v>
      </c>
      <c r="AE584" t="s">
        <v>74</v>
      </c>
      <c r="AF584" t="s">
        <v>74</v>
      </c>
      <c r="AG584">
        <v>47</v>
      </c>
      <c r="AH584">
        <v>48</v>
      </c>
      <c r="AI584">
        <v>54</v>
      </c>
      <c r="AJ584">
        <v>0</v>
      </c>
      <c r="AK584">
        <v>5</v>
      </c>
      <c r="AL584" t="s">
        <v>519</v>
      </c>
      <c r="AM584" t="s">
        <v>520</v>
      </c>
      <c r="AN584" t="s">
        <v>521</v>
      </c>
      <c r="AO584" t="s">
        <v>9108</v>
      </c>
      <c r="AP584" t="s">
        <v>9109</v>
      </c>
      <c r="AQ584" t="s">
        <v>74</v>
      </c>
      <c r="AR584" t="s">
        <v>9110</v>
      </c>
      <c r="AS584" t="s">
        <v>9111</v>
      </c>
      <c r="AT584" t="s">
        <v>9052</v>
      </c>
      <c r="AU584">
        <v>2006</v>
      </c>
      <c r="AV584">
        <v>145</v>
      </c>
      <c r="AW584" t="s">
        <v>1243</v>
      </c>
      <c r="AX584" t="s">
        <v>74</v>
      </c>
      <c r="AY584" t="s">
        <v>74</v>
      </c>
      <c r="AZ584" t="s">
        <v>74</v>
      </c>
      <c r="BA584" t="s">
        <v>74</v>
      </c>
      <c r="BB584">
        <v>207</v>
      </c>
      <c r="BC584">
        <v>228</v>
      </c>
      <c r="BD584" t="s">
        <v>74</v>
      </c>
      <c r="BE584" t="s">
        <v>9112</v>
      </c>
      <c r="BF584" t="str">
        <f>HYPERLINK("http://dx.doi.org/10.1016/j.precamres.2005.12.003","http://dx.doi.org/10.1016/j.precamres.2005.12.003")</f>
        <v>http://dx.doi.org/10.1016/j.precamres.2005.12.003</v>
      </c>
      <c r="BG584" t="s">
        <v>74</v>
      </c>
      <c r="BH584" t="s">
        <v>74</v>
      </c>
      <c r="BI584">
        <v>22</v>
      </c>
      <c r="BJ584" t="s">
        <v>527</v>
      </c>
      <c r="BK584" t="s">
        <v>97</v>
      </c>
      <c r="BL584" t="s">
        <v>528</v>
      </c>
      <c r="BM584" t="s">
        <v>9113</v>
      </c>
      <c r="BN584" t="s">
        <v>74</v>
      </c>
      <c r="BO584" t="s">
        <v>74</v>
      </c>
      <c r="BP584" t="s">
        <v>74</v>
      </c>
      <c r="BQ584" t="s">
        <v>74</v>
      </c>
      <c r="BR584" t="s">
        <v>100</v>
      </c>
      <c r="BS584" t="s">
        <v>9114</v>
      </c>
      <c r="BT584" t="str">
        <f>HYPERLINK("https%3A%2F%2Fwww.webofscience.com%2Fwos%2Fwoscc%2Ffull-record%2FWOS:000236336800003","View Full Record in Web of Science")</f>
        <v>View Full Record in Web of Science</v>
      </c>
    </row>
    <row r="585" spans="1:72" x14ac:dyDescent="0.15">
      <c r="A585" t="s">
        <v>72</v>
      </c>
      <c r="B585" t="s">
        <v>9115</v>
      </c>
      <c r="C585" t="s">
        <v>74</v>
      </c>
      <c r="D585" t="s">
        <v>74</v>
      </c>
      <c r="E585" t="s">
        <v>74</v>
      </c>
      <c r="F585" t="s">
        <v>9115</v>
      </c>
      <c r="G585" t="s">
        <v>74</v>
      </c>
      <c r="H585" t="s">
        <v>74</v>
      </c>
      <c r="I585" t="s">
        <v>9116</v>
      </c>
      <c r="J585" t="s">
        <v>1772</v>
      </c>
      <c r="K585" t="s">
        <v>74</v>
      </c>
      <c r="L585" t="s">
        <v>74</v>
      </c>
      <c r="M585" t="s">
        <v>78</v>
      </c>
      <c r="N585" t="s">
        <v>79</v>
      </c>
      <c r="O585" t="s">
        <v>74</v>
      </c>
      <c r="P585" t="s">
        <v>74</v>
      </c>
      <c r="Q585" t="s">
        <v>74</v>
      </c>
      <c r="R585" t="s">
        <v>74</v>
      </c>
      <c r="S585" t="s">
        <v>74</v>
      </c>
      <c r="T585" t="s">
        <v>74</v>
      </c>
      <c r="U585" t="s">
        <v>9117</v>
      </c>
      <c r="V585" t="s">
        <v>9118</v>
      </c>
      <c r="W585" t="s">
        <v>9119</v>
      </c>
      <c r="X585" t="s">
        <v>9120</v>
      </c>
      <c r="Y585" t="s">
        <v>9121</v>
      </c>
      <c r="Z585" t="s">
        <v>2336</v>
      </c>
      <c r="AA585" t="s">
        <v>9122</v>
      </c>
      <c r="AB585" t="s">
        <v>9123</v>
      </c>
      <c r="AC585" t="s">
        <v>2337</v>
      </c>
      <c r="AD585" t="s">
        <v>1328</v>
      </c>
      <c r="AE585" t="s">
        <v>74</v>
      </c>
      <c r="AF585" t="s">
        <v>74</v>
      </c>
      <c r="AG585">
        <v>31</v>
      </c>
      <c r="AH585">
        <v>247</v>
      </c>
      <c r="AI585">
        <v>274</v>
      </c>
      <c r="AJ585">
        <v>1</v>
      </c>
      <c r="AK585">
        <v>42</v>
      </c>
      <c r="AL585" t="s">
        <v>1757</v>
      </c>
      <c r="AM585" t="s">
        <v>88</v>
      </c>
      <c r="AN585" t="s">
        <v>1758</v>
      </c>
      <c r="AO585" t="s">
        <v>1779</v>
      </c>
      <c r="AP585" t="s">
        <v>1780</v>
      </c>
      <c r="AQ585" t="s">
        <v>74</v>
      </c>
      <c r="AR585" t="s">
        <v>1781</v>
      </c>
      <c r="AS585" t="s">
        <v>1782</v>
      </c>
      <c r="AT585" t="s">
        <v>9124</v>
      </c>
      <c r="AU585">
        <v>2006</v>
      </c>
      <c r="AV585">
        <v>111</v>
      </c>
      <c r="AW585" t="s">
        <v>9125</v>
      </c>
      <c r="AX585" t="s">
        <v>74</v>
      </c>
      <c r="AY585" t="s">
        <v>74</v>
      </c>
      <c r="AZ585" t="s">
        <v>74</v>
      </c>
      <c r="BA585" t="s">
        <v>74</v>
      </c>
      <c r="BB585" t="s">
        <v>74</v>
      </c>
      <c r="BC585" t="s">
        <v>74</v>
      </c>
      <c r="BD585" t="s">
        <v>9126</v>
      </c>
      <c r="BE585" t="s">
        <v>9127</v>
      </c>
      <c r="BF585" t="str">
        <f>HYPERLINK("http://dx.doi.org/10.1029/2004JD005667","http://dx.doi.org/10.1029/2004JD005667")</f>
        <v>http://dx.doi.org/10.1029/2004JD005667</v>
      </c>
      <c r="BG585" t="s">
        <v>74</v>
      </c>
      <c r="BH585" t="s">
        <v>74</v>
      </c>
      <c r="BI585">
        <v>10</v>
      </c>
      <c r="BJ585" t="s">
        <v>869</v>
      </c>
      <c r="BK585" t="s">
        <v>97</v>
      </c>
      <c r="BL585" t="s">
        <v>869</v>
      </c>
      <c r="BM585" t="s">
        <v>9128</v>
      </c>
      <c r="BN585" t="s">
        <v>74</v>
      </c>
      <c r="BO585" t="s">
        <v>2100</v>
      </c>
      <c r="BP585" t="s">
        <v>74</v>
      </c>
      <c r="BQ585" t="s">
        <v>74</v>
      </c>
      <c r="BR585" t="s">
        <v>100</v>
      </c>
      <c r="BS585" t="s">
        <v>9129</v>
      </c>
      <c r="BT585" t="str">
        <f>HYPERLINK("https%3A%2F%2Fwww.webofscience.com%2Fwos%2Fwoscc%2Ffull-record%2FWOS:000236730400002","View Full Record in Web of Science")</f>
        <v>View Full Record in Web of Science</v>
      </c>
    </row>
    <row r="586" spans="1:72" x14ac:dyDescent="0.15">
      <c r="A586" t="s">
        <v>72</v>
      </c>
      <c r="B586" t="s">
        <v>9130</v>
      </c>
      <c r="C586" t="s">
        <v>74</v>
      </c>
      <c r="D586" t="s">
        <v>74</v>
      </c>
      <c r="E586" t="s">
        <v>74</v>
      </c>
      <c r="F586" t="s">
        <v>9130</v>
      </c>
      <c r="G586" t="s">
        <v>74</v>
      </c>
      <c r="H586" t="s">
        <v>74</v>
      </c>
      <c r="I586" t="s">
        <v>9131</v>
      </c>
      <c r="J586" t="s">
        <v>5848</v>
      </c>
      <c r="K586" t="s">
        <v>74</v>
      </c>
      <c r="L586" t="s">
        <v>74</v>
      </c>
      <c r="M586" t="s">
        <v>78</v>
      </c>
      <c r="N586" t="s">
        <v>79</v>
      </c>
      <c r="O586" t="s">
        <v>74</v>
      </c>
      <c r="P586" t="s">
        <v>74</v>
      </c>
      <c r="Q586" t="s">
        <v>74</v>
      </c>
      <c r="R586" t="s">
        <v>74</v>
      </c>
      <c r="S586" t="s">
        <v>74</v>
      </c>
      <c r="T586" t="s">
        <v>9132</v>
      </c>
      <c r="U586" t="s">
        <v>9133</v>
      </c>
      <c r="V586" t="s">
        <v>9134</v>
      </c>
      <c r="W586" t="s">
        <v>9135</v>
      </c>
      <c r="X586" t="s">
        <v>9136</v>
      </c>
      <c r="Y586" t="s">
        <v>9137</v>
      </c>
      <c r="Z586" t="s">
        <v>9138</v>
      </c>
      <c r="AA586" t="s">
        <v>9139</v>
      </c>
      <c r="AB586" t="s">
        <v>9140</v>
      </c>
      <c r="AC586" t="s">
        <v>1518</v>
      </c>
      <c r="AD586" t="s">
        <v>413</v>
      </c>
      <c r="AE586" t="s">
        <v>74</v>
      </c>
      <c r="AF586" t="s">
        <v>74</v>
      </c>
      <c r="AG586">
        <v>56</v>
      </c>
      <c r="AH586">
        <v>19</v>
      </c>
      <c r="AI586">
        <v>20</v>
      </c>
      <c r="AJ586">
        <v>2</v>
      </c>
      <c r="AK586">
        <v>4</v>
      </c>
      <c r="AL586" t="s">
        <v>2185</v>
      </c>
      <c r="AM586" t="s">
        <v>557</v>
      </c>
      <c r="AN586" t="s">
        <v>2165</v>
      </c>
      <c r="AO586" t="s">
        <v>5856</v>
      </c>
      <c r="AP586" t="s">
        <v>5857</v>
      </c>
      <c r="AQ586" t="s">
        <v>74</v>
      </c>
      <c r="AR586" t="s">
        <v>5858</v>
      </c>
      <c r="AS586" t="s">
        <v>5859</v>
      </c>
      <c r="AT586" t="s">
        <v>9124</v>
      </c>
      <c r="AU586">
        <v>2006</v>
      </c>
      <c r="AV586">
        <v>361</v>
      </c>
      <c r="AW586">
        <v>1467</v>
      </c>
      <c r="AX586" t="s">
        <v>74</v>
      </c>
      <c r="AY586" t="s">
        <v>74</v>
      </c>
      <c r="AZ586" t="s">
        <v>74</v>
      </c>
      <c r="BA586" t="s">
        <v>74</v>
      </c>
      <c r="BB586">
        <v>483</v>
      </c>
      <c r="BC586">
        <v>494</v>
      </c>
      <c r="BD586" t="s">
        <v>74</v>
      </c>
      <c r="BE586" t="s">
        <v>9141</v>
      </c>
      <c r="BF586" t="str">
        <f>HYPERLINK("http://dx.doi.org/10.1098/rstb.2005.1806","http://dx.doi.org/10.1098/rstb.2005.1806")</f>
        <v>http://dx.doi.org/10.1098/rstb.2005.1806</v>
      </c>
      <c r="BG586" t="s">
        <v>74</v>
      </c>
      <c r="BH586" t="s">
        <v>74</v>
      </c>
      <c r="BI586">
        <v>12</v>
      </c>
      <c r="BJ586" t="s">
        <v>5369</v>
      </c>
      <c r="BK586" t="s">
        <v>97</v>
      </c>
      <c r="BL586" t="s">
        <v>5370</v>
      </c>
      <c r="BM586" t="s">
        <v>9142</v>
      </c>
      <c r="BN586">
        <v>16524837</v>
      </c>
      <c r="BO586" t="s">
        <v>99</v>
      </c>
      <c r="BP586" t="s">
        <v>74</v>
      </c>
      <c r="BQ586" t="s">
        <v>74</v>
      </c>
      <c r="BR586" t="s">
        <v>100</v>
      </c>
      <c r="BS586" t="s">
        <v>9143</v>
      </c>
      <c r="BT586" t="str">
        <f>HYPERLINK("https%3A%2F%2Fwww.webofscience.com%2Fwos%2Fwoscc%2Ffull-record%2FWOS:000235806600011","View Full Record in Web of Science")</f>
        <v>View Full Record in Web of Science</v>
      </c>
    </row>
    <row r="587" spans="1:72" x14ac:dyDescent="0.15">
      <c r="A587" t="s">
        <v>72</v>
      </c>
      <c r="B587" t="s">
        <v>9144</v>
      </c>
      <c r="C587" t="s">
        <v>74</v>
      </c>
      <c r="D587" t="s">
        <v>74</v>
      </c>
      <c r="E587" t="s">
        <v>74</v>
      </c>
      <c r="F587" t="s">
        <v>9144</v>
      </c>
      <c r="G587" t="s">
        <v>74</v>
      </c>
      <c r="H587" t="s">
        <v>74</v>
      </c>
      <c r="I587" t="s">
        <v>9145</v>
      </c>
      <c r="J587" t="s">
        <v>1748</v>
      </c>
      <c r="K587" t="s">
        <v>74</v>
      </c>
      <c r="L587" t="s">
        <v>74</v>
      </c>
      <c r="M587" t="s">
        <v>78</v>
      </c>
      <c r="N587" t="s">
        <v>79</v>
      </c>
      <c r="O587" t="s">
        <v>74</v>
      </c>
      <c r="P587" t="s">
        <v>74</v>
      </c>
      <c r="Q587" t="s">
        <v>74</v>
      </c>
      <c r="R587" t="s">
        <v>74</v>
      </c>
      <c r="S587" t="s">
        <v>74</v>
      </c>
      <c r="T587" t="s">
        <v>74</v>
      </c>
      <c r="U587" t="s">
        <v>74</v>
      </c>
      <c r="V587" t="s">
        <v>9146</v>
      </c>
      <c r="W587" t="s">
        <v>9147</v>
      </c>
      <c r="X587" t="s">
        <v>5176</v>
      </c>
      <c r="Y587" t="s">
        <v>9148</v>
      </c>
      <c r="Z587" t="s">
        <v>9149</v>
      </c>
      <c r="AA587" t="s">
        <v>9150</v>
      </c>
      <c r="AB587" t="s">
        <v>9151</v>
      </c>
      <c r="AC587" t="s">
        <v>74</v>
      </c>
      <c r="AD587" t="s">
        <v>74</v>
      </c>
      <c r="AE587" t="s">
        <v>74</v>
      </c>
      <c r="AF587" t="s">
        <v>74</v>
      </c>
      <c r="AG587">
        <v>5</v>
      </c>
      <c r="AH587">
        <v>1</v>
      </c>
      <c r="AI587">
        <v>3</v>
      </c>
      <c r="AJ587">
        <v>0</v>
      </c>
      <c r="AK587">
        <v>0</v>
      </c>
      <c r="AL587" t="s">
        <v>1757</v>
      </c>
      <c r="AM587" t="s">
        <v>88</v>
      </c>
      <c r="AN587" t="s">
        <v>1758</v>
      </c>
      <c r="AO587" t="s">
        <v>1759</v>
      </c>
      <c r="AP587" t="s">
        <v>1760</v>
      </c>
      <c r="AQ587" t="s">
        <v>74</v>
      </c>
      <c r="AR587" t="s">
        <v>1761</v>
      </c>
      <c r="AS587" t="s">
        <v>1762</v>
      </c>
      <c r="AT587" t="s">
        <v>9152</v>
      </c>
      <c r="AU587">
        <v>2006</v>
      </c>
      <c r="AV587">
        <v>33</v>
      </c>
      <c r="AW587">
        <v>6</v>
      </c>
      <c r="AX587" t="s">
        <v>74</v>
      </c>
      <c r="AY587" t="s">
        <v>74</v>
      </c>
      <c r="AZ587" t="s">
        <v>74</v>
      </c>
      <c r="BA587" t="s">
        <v>74</v>
      </c>
      <c r="BB587" t="s">
        <v>74</v>
      </c>
      <c r="BC587" t="s">
        <v>74</v>
      </c>
      <c r="BD587" t="s">
        <v>9153</v>
      </c>
      <c r="BE587" t="s">
        <v>9154</v>
      </c>
      <c r="BF587" t="str">
        <f>HYPERLINK("http://dx.doi.org/10.1029/2005GL025197","http://dx.doi.org/10.1029/2005GL025197")</f>
        <v>http://dx.doi.org/10.1029/2005GL025197</v>
      </c>
      <c r="BG587" t="s">
        <v>74</v>
      </c>
      <c r="BH587" t="s">
        <v>74</v>
      </c>
      <c r="BI587">
        <v>4</v>
      </c>
      <c r="BJ587" t="s">
        <v>527</v>
      </c>
      <c r="BK587" t="s">
        <v>97</v>
      </c>
      <c r="BL587" t="s">
        <v>528</v>
      </c>
      <c r="BM587" t="s">
        <v>9155</v>
      </c>
      <c r="BN587" t="s">
        <v>74</v>
      </c>
      <c r="BO587" t="s">
        <v>460</v>
      </c>
      <c r="BP587" t="s">
        <v>74</v>
      </c>
      <c r="BQ587" t="s">
        <v>74</v>
      </c>
      <c r="BR587" t="s">
        <v>100</v>
      </c>
      <c r="BS587" t="s">
        <v>9156</v>
      </c>
      <c r="BT587" t="str">
        <f>HYPERLINK("https%3A%2F%2Fwww.webofscience.com%2Fwos%2Fwoscc%2Ffull-record%2FWOS:000236729200004","View Full Record in Web of Science")</f>
        <v>View Full Record in Web of Science</v>
      </c>
    </row>
    <row r="588" spans="1:72" x14ac:dyDescent="0.15">
      <c r="A588" t="s">
        <v>72</v>
      </c>
      <c r="B588" t="s">
        <v>9157</v>
      </c>
      <c r="C588" t="s">
        <v>74</v>
      </c>
      <c r="D588" t="s">
        <v>74</v>
      </c>
      <c r="E588" t="s">
        <v>74</v>
      </c>
      <c r="F588" t="s">
        <v>9157</v>
      </c>
      <c r="G588" t="s">
        <v>74</v>
      </c>
      <c r="H588" t="s">
        <v>74</v>
      </c>
      <c r="I588" t="s">
        <v>9158</v>
      </c>
      <c r="J588" t="s">
        <v>3922</v>
      </c>
      <c r="K588" t="s">
        <v>74</v>
      </c>
      <c r="L588" t="s">
        <v>74</v>
      </c>
      <c r="M588" t="s">
        <v>78</v>
      </c>
      <c r="N588" t="s">
        <v>79</v>
      </c>
      <c r="O588" t="s">
        <v>74</v>
      </c>
      <c r="P588" t="s">
        <v>74</v>
      </c>
      <c r="Q588" t="s">
        <v>74</v>
      </c>
      <c r="R588" t="s">
        <v>74</v>
      </c>
      <c r="S588" t="s">
        <v>74</v>
      </c>
      <c r="T588" t="s">
        <v>9159</v>
      </c>
      <c r="U588" t="s">
        <v>9160</v>
      </c>
      <c r="V588" t="s">
        <v>9161</v>
      </c>
      <c r="W588" t="s">
        <v>9162</v>
      </c>
      <c r="X588" t="s">
        <v>9163</v>
      </c>
      <c r="Y588" t="s">
        <v>9164</v>
      </c>
      <c r="Z588" t="s">
        <v>9165</v>
      </c>
      <c r="AA588" t="s">
        <v>74</v>
      </c>
      <c r="AB588" t="s">
        <v>74</v>
      </c>
      <c r="AC588" t="s">
        <v>74</v>
      </c>
      <c r="AD588" t="s">
        <v>74</v>
      </c>
      <c r="AE588" t="s">
        <v>74</v>
      </c>
      <c r="AF588" t="s">
        <v>74</v>
      </c>
      <c r="AG588">
        <v>23</v>
      </c>
      <c r="AH588">
        <v>2</v>
      </c>
      <c r="AI588">
        <v>3</v>
      </c>
      <c r="AJ588">
        <v>1</v>
      </c>
      <c r="AK588">
        <v>9</v>
      </c>
      <c r="AL588" t="s">
        <v>914</v>
      </c>
      <c r="AM588" t="s">
        <v>915</v>
      </c>
      <c r="AN588" t="s">
        <v>916</v>
      </c>
      <c r="AO588" t="s">
        <v>3928</v>
      </c>
      <c r="AP588" t="s">
        <v>74</v>
      </c>
      <c r="AQ588" t="s">
        <v>74</v>
      </c>
      <c r="AR588" t="s">
        <v>3929</v>
      </c>
      <c r="AS588" t="s">
        <v>3930</v>
      </c>
      <c r="AT588" t="s">
        <v>9166</v>
      </c>
      <c r="AU588">
        <v>2006</v>
      </c>
      <c r="AV588">
        <v>90</v>
      </c>
      <c r="AW588">
        <v>6</v>
      </c>
      <c r="AX588" t="s">
        <v>74</v>
      </c>
      <c r="AY588" t="s">
        <v>74</v>
      </c>
      <c r="AZ588" t="s">
        <v>74</v>
      </c>
      <c r="BA588" t="s">
        <v>74</v>
      </c>
      <c r="BB588">
        <v>851</v>
      </c>
      <c r="BC588">
        <v>857</v>
      </c>
      <c r="BD588" t="s">
        <v>74</v>
      </c>
      <c r="BE588" t="s">
        <v>74</v>
      </c>
      <c r="BF588" t="s">
        <v>74</v>
      </c>
      <c r="BG588" t="s">
        <v>74</v>
      </c>
      <c r="BH588" t="s">
        <v>74</v>
      </c>
      <c r="BI588">
        <v>7</v>
      </c>
      <c r="BJ588" t="s">
        <v>1841</v>
      </c>
      <c r="BK588" t="s">
        <v>97</v>
      </c>
      <c r="BL588" t="s">
        <v>1842</v>
      </c>
      <c r="BM588" t="s">
        <v>9167</v>
      </c>
      <c r="BN588" t="s">
        <v>74</v>
      </c>
      <c r="BO588" t="s">
        <v>74</v>
      </c>
      <c r="BP588" t="s">
        <v>74</v>
      </c>
      <c r="BQ588" t="s">
        <v>74</v>
      </c>
      <c r="BR588" t="s">
        <v>100</v>
      </c>
      <c r="BS588" t="s">
        <v>9168</v>
      </c>
      <c r="BT588" t="str">
        <f>HYPERLINK("https%3A%2F%2Fwww.webofscience.com%2Fwos%2Fwoscc%2Ffull-record%2FWOS:000236559200030","View Full Record in Web of Science")</f>
        <v>View Full Record in Web of Science</v>
      </c>
    </row>
    <row r="589" spans="1:72" x14ac:dyDescent="0.15">
      <c r="A589" t="s">
        <v>72</v>
      </c>
      <c r="B589" t="s">
        <v>9169</v>
      </c>
      <c r="C589" t="s">
        <v>74</v>
      </c>
      <c r="D589" t="s">
        <v>74</v>
      </c>
      <c r="E589" t="s">
        <v>74</v>
      </c>
      <c r="F589" t="s">
        <v>9169</v>
      </c>
      <c r="G589" t="s">
        <v>74</v>
      </c>
      <c r="H589" t="s">
        <v>74</v>
      </c>
      <c r="I589" t="s">
        <v>9170</v>
      </c>
      <c r="J589" t="s">
        <v>1772</v>
      </c>
      <c r="K589" t="s">
        <v>74</v>
      </c>
      <c r="L589" t="s">
        <v>74</v>
      </c>
      <c r="M589" t="s">
        <v>78</v>
      </c>
      <c r="N589" t="s">
        <v>79</v>
      </c>
      <c r="O589" t="s">
        <v>74</v>
      </c>
      <c r="P589" t="s">
        <v>74</v>
      </c>
      <c r="Q589" t="s">
        <v>74</v>
      </c>
      <c r="R589" t="s">
        <v>74</v>
      </c>
      <c r="S589" t="s">
        <v>74</v>
      </c>
      <c r="T589" t="s">
        <v>74</v>
      </c>
      <c r="U589" t="s">
        <v>9171</v>
      </c>
      <c r="V589" t="s">
        <v>9172</v>
      </c>
      <c r="W589" t="s">
        <v>9173</v>
      </c>
      <c r="X589" t="s">
        <v>9174</v>
      </c>
      <c r="Y589" t="s">
        <v>9175</v>
      </c>
      <c r="Z589" t="s">
        <v>9176</v>
      </c>
      <c r="AA589" t="s">
        <v>9177</v>
      </c>
      <c r="AB589" t="s">
        <v>9178</v>
      </c>
      <c r="AC589" t="s">
        <v>9179</v>
      </c>
      <c r="AD589" t="s">
        <v>1328</v>
      </c>
      <c r="AE589" t="s">
        <v>74</v>
      </c>
      <c r="AF589" t="s">
        <v>74</v>
      </c>
      <c r="AG589">
        <v>34</v>
      </c>
      <c r="AH589">
        <v>26</v>
      </c>
      <c r="AI589">
        <v>27</v>
      </c>
      <c r="AJ589">
        <v>0</v>
      </c>
      <c r="AK589">
        <v>13</v>
      </c>
      <c r="AL589" t="s">
        <v>1757</v>
      </c>
      <c r="AM589" t="s">
        <v>88</v>
      </c>
      <c r="AN589" t="s">
        <v>1758</v>
      </c>
      <c r="AO589" t="s">
        <v>1779</v>
      </c>
      <c r="AP589" t="s">
        <v>1780</v>
      </c>
      <c r="AQ589" t="s">
        <v>74</v>
      </c>
      <c r="AR589" t="s">
        <v>1781</v>
      </c>
      <c r="AS589" t="s">
        <v>1782</v>
      </c>
      <c r="AT589" t="s">
        <v>9180</v>
      </c>
      <c r="AU589">
        <v>2006</v>
      </c>
      <c r="AV589">
        <v>111</v>
      </c>
      <c r="AW589" t="s">
        <v>4198</v>
      </c>
      <c r="AX589" t="s">
        <v>74</v>
      </c>
      <c r="AY589" t="s">
        <v>74</v>
      </c>
      <c r="AZ589" t="s">
        <v>74</v>
      </c>
      <c r="BA589" t="s">
        <v>74</v>
      </c>
      <c r="BB589" t="s">
        <v>74</v>
      </c>
      <c r="BC589" t="s">
        <v>74</v>
      </c>
      <c r="BD589" t="s">
        <v>9181</v>
      </c>
      <c r="BE589" t="s">
        <v>9182</v>
      </c>
      <c r="BF589" t="str">
        <f>HYPERLINK("http://dx.doi.org/10.1029/2005JD006439","http://dx.doi.org/10.1029/2005JD006439")</f>
        <v>http://dx.doi.org/10.1029/2005JD006439</v>
      </c>
      <c r="BG589" t="s">
        <v>74</v>
      </c>
      <c r="BH589" t="s">
        <v>74</v>
      </c>
      <c r="BI589">
        <v>15</v>
      </c>
      <c r="BJ589" t="s">
        <v>869</v>
      </c>
      <c r="BK589" t="s">
        <v>97</v>
      </c>
      <c r="BL589" t="s">
        <v>869</v>
      </c>
      <c r="BM589" t="s">
        <v>9183</v>
      </c>
      <c r="BN589" t="s">
        <v>74</v>
      </c>
      <c r="BO589" t="s">
        <v>9184</v>
      </c>
      <c r="BP589" t="s">
        <v>74</v>
      </c>
      <c r="BQ589" t="s">
        <v>74</v>
      </c>
      <c r="BR589" t="s">
        <v>100</v>
      </c>
      <c r="BS589" t="s">
        <v>9185</v>
      </c>
      <c r="BT589" t="str">
        <f>HYPERLINK("https%3A%2F%2Fwww.webofscience.com%2Fwos%2Fwoscc%2Ffull-record%2FWOS:000236346200001","View Full Record in Web of Science")</f>
        <v>View Full Record in Web of Science</v>
      </c>
    </row>
    <row r="590" spans="1:72" x14ac:dyDescent="0.15">
      <c r="A590" t="s">
        <v>72</v>
      </c>
      <c r="B590" t="s">
        <v>9186</v>
      </c>
      <c r="C590" t="s">
        <v>74</v>
      </c>
      <c r="D590" t="s">
        <v>74</v>
      </c>
      <c r="E590" t="s">
        <v>74</v>
      </c>
      <c r="F590" t="s">
        <v>9186</v>
      </c>
      <c r="G590" t="s">
        <v>74</v>
      </c>
      <c r="H590" t="s">
        <v>74</v>
      </c>
      <c r="I590" t="s">
        <v>9187</v>
      </c>
      <c r="J590" t="s">
        <v>1828</v>
      </c>
      <c r="K590" t="s">
        <v>74</v>
      </c>
      <c r="L590" t="s">
        <v>74</v>
      </c>
      <c r="M590" t="s">
        <v>78</v>
      </c>
      <c r="N590" t="s">
        <v>79</v>
      </c>
      <c r="O590" t="s">
        <v>74</v>
      </c>
      <c r="P590" t="s">
        <v>74</v>
      </c>
      <c r="Q590" t="s">
        <v>74</v>
      </c>
      <c r="R590" t="s">
        <v>74</v>
      </c>
      <c r="S590" t="s">
        <v>74</v>
      </c>
      <c r="T590" t="s">
        <v>74</v>
      </c>
      <c r="U590" t="s">
        <v>9188</v>
      </c>
      <c r="V590" t="s">
        <v>9189</v>
      </c>
      <c r="W590" t="s">
        <v>9190</v>
      </c>
      <c r="X590" t="s">
        <v>9191</v>
      </c>
      <c r="Y590" t="s">
        <v>9192</v>
      </c>
      <c r="Z590" t="s">
        <v>9193</v>
      </c>
      <c r="AA590" t="s">
        <v>5323</v>
      </c>
      <c r="AB590" t="s">
        <v>74</v>
      </c>
      <c r="AC590" t="s">
        <v>9194</v>
      </c>
      <c r="AD590" t="s">
        <v>9195</v>
      </c>
      <c r="AE590" t="s">
        <v>74</v>
      </c>
      <c r="AF590" t="s">
        <v>74</v>
      </c>
      <c r="AG590">
        <v>38</v>
      </c>
      <c r="AH590">
        <v>321</v>
      </c>
      <c r="AI590">
        <v>377</v>
      </c>
      <c r="AJ590">
        <v>3</v>
      </c>
      <c r="AK590">
        <v>101</v>
      </c>
      <c r="AL590" t="s">
        <v>1836</v>
      </c>
      <c r="AM590" t="s">
        <v>88</v>
      </c>
      <c r="AN590" t="s">
        <v>1837</v>
      </c>
      <c r="AO590" t="s">
        <v>1838</v>
      </c>
      <c r="AP590" t="s">
        <v>1856</v>
      </c>
      <c r="AQ590" t="s">
        <v>74</v>
      </c>
      <c r="AR590" t="s">
        <v>1828</v>
      </c>
      <c r="AS590" t="s">
        <v>1839</v>
      </c>
      <c r="AT590" t="s">
        <v>9180</v>
      </c>
      <c r="AU590">
        <v>2006</v>
      </c>
      <c r="AV590">
        <v>311</v>
      </c>
      <c r="AW590">
        <v>5768</v>
      </c>
      <c r="AX590" t="s">
        <v>74</v>
      </c>
      <c r="AY590" t="s">
        <v>74</v>
      </c>
      <c r="AZ590" t="s">
        <v>74</v>
      </c>
      <c r="BA590" t="s">
        <v>74</v>
      </c>
      <c r="BB590">
        <v>1747</v>
      </c>
      <c r="BC590">
        <v>1750</v>
      </c>
      <c r="BD590" t="s">
        <v>74</v>
      </c>
      <c r="BE590" t="s">
        <v>9196</v>
      </c>
      <c r="BF590" t="str">
        <f>HYPERLINK("http://dx.doi.org/10.1126/science.1115159","http://dx.doi.org/10.1126/science.1115159")</f>
        <v>http://dx.doi.org/10.1126/science.1115159</v>
      </c>
      <c r="BG590" t="s">
        <v>74</v>
      </c>
      <c r="BH590" t="s">
        <v>74</v>
      </c>
      <c r="BI590">
        <v>4</v>
      </c>
      <c r="BJ590" t="s">
        <v>1841</v>
      </c>
      <c r="BK590" t="s">
        <v>97</v>
      </c>
      <c r="BL590" t="s">
        <v>1842</v>
      </c>
      <c r="BM590" t="s">
        <v>9197</v>
      </c>
      <c r="BN590">
        <v>16556837</v>
      </c>
      <c r="BO590" t="s">
        <v>147</v>
      </c>
      <c r="BP590" t="s">
        <v>74</v>
      </c>
      <c r="BQ590" t="s">
        <v>74</v>
      </c>
      <c r="BR590" t="s">
        <v>100</v>
      </c>
      <c r="BS590" t="s">
        <v>9198</v>
      </c>
      <c r="BT590" t="str">
        <f>HYPERLINK("https%3A%2F%2Fwww.webofscience.com%2Fwos%2Fwoscc%2Ffull-record%2FWOS:000236204300036","View Full Record in Web of Science")</f>
        <v>View Full Record in Web of Science</v>
      </c>
    </row>
    <row r="591" spans="1:72" x14ac:dyDescent="0.15">
      <c r="A591" t="s">
        <v>72</v>
      </c>
      <c r="B591" t="s">
        <v>9199</v>
      </c>
      <c r="C591" t="s">
        <v>74</v>
      </c>
      <c r="D591" t="s">
        <v>74</v>
      </c>
      <c r="E591" t="s">
        <v>74</v>
      </c>
      <c r="F591" t="s">
        <v>9199</v>
      </c>
      <c r="G591" t="s">
        <v>74</v>
      </c>
      <c r="H591" t="s">
        <v>74</v>
      </c>
      <c r="I591" t="s">
        <v>9200</v>
      </c>
      <c r="J591" t="s">
        <v>1828</v>
      </c>
      <c r="K591" t="s">
        <v>74</v>
      </c>
      <c r="L591" t="s">
        <v>74</v>
      </c>
      <c r="M591" t="s">
        <v>78</v>
      </c>
      <c r="N591" t="s">
        <v>79</v>
      </c>
      <c r="O591" t="s">
        <v>74</v>
      </c>
      <c r="P591" t="s">
        <v>74</v>
      </c>
      <c r="Q591" t="s">
        <v>74</v>
      </c>
      <c r="R591" t="s">
        <v>74</v>
      </c>
      <c r="S591" t="s">
        <v>74</v>
      </c>
      <c r="T591" t="s">
        <v>74</v>
      </c>
      <c r="U591" t="s">
        <v>9201</v>
      </c>
      <c r="V591" t="s">
        <v>9202</v>
      </c>
      <c r="W591" t="s">
        <v>9203</v>
      </c>
      <c r="X591" t="s">
        <v>9204</v>
      </c>
      <c r="Y591" t="s">
        <v>9205</v>
      </c>
      <c r="Z591" t="s">
        <v>9206</v>
      </c>
      <c r="AA591" t="s">
        <v>9207</v>
      </c>
      <c r="AB591" t="s">
        <v>74</v>
      </c>
      <c r="AC591" t="s">
        <v>9208</v>
      </c>
      <c r="AD591" t="s">
        <v>9195</v>
      </c>
      <c r="AE591" t="s">
        <v>74</v>
      </c>
      <c r="AF591" t="s">
        <v>74</v>
      </c>
      <c r="AG591">
        <v>16</v>
      </c>
      <c r="AH591">
        <v>432</v>
      </c>
      <c r="AI591">
        <v>500</v>
      </c>
      <c r="AJ591">
        <v>4</v>
      </c>
      <c r="AK591">
        <v>96</v>
      </c>
      <c r="AL591" t="s">
        <v>1836</v>
      </c>
      <c r="AM591" t="s">
        <v>88</v>
      </c>
      <c r="AN591" t="s">
        <v>1837</v>
      </c>
      <c r="AO591" t="s">
        <v>1838</v>
      </c>
      <c r="AP591" t="s">
        <v>1856</v>
      </c>
      <c r="AQ591" t="s">
        <v>74</v>
      </c>
      <c r="AR591" t="s">
        <v>1828</v>
      </c>
      <c r="AS591" t="s">
        <v>1839</v>
      </c>
      <c r="AT591" t="s">
        <v>9180</v>
      </c>
      <c r="AU591">
        <v>2006</v>
      </c>
      <c r="AV591">
        <v>311</v>
      </c>
      <c r="AW591">
        <v>5768</v>
      </c>
      <c r="AX591" t="s">
        <v>74</v>
      </c>
      <c r="AY591" t="s">
        <v>74</v>
      </c>
      <c r="AZ591" t="s">
        <v>74</v>
      </c>
      <c r="BA591" t="s">
        <v>74</v>
      </c>
      <c r="BB591">
        <v>1754</v>
      </c>
      <c r="BC591">
        <v>1756</v>
      </c>
      <c r="BD591" t="s">
        <v>74</v>
      </c>
      <c r="BE591" t="s">
        <v>9209</v>
      </c>
      <c r="BF591" t="str">
        <f>HYPERLINK("http://dx.doi.org/10.1126/science.1123785","http://dx.doi.org/10.1126/science.1123785")</f>
        <v>http://dx.doi.org/10.1126/science.1123785</v>
      </c>
      <c r="BG591" t="s">
        <v>74</v>
      </c>
      <c r="BH591" t="s">
        <v>74</v>
      </c>
      <c r="BI591">
        <v>3</v>
      </c>
      <c r="BJ591" t="s">
        <v>1841</v>
      </c>
      <c r="BK591" t="s">
        <v>97</v>
      </c>
      <c r="BL591" t="s">
        <v>1842</v>
      </c>
      <c r="BM591" t="s">
        <v>9197</v>
      </c>
      <c r="BN591">
        <v>16513944</v>
      </c>
      <c r="BO591" t="s">
        <v>1808</v>
      </c>
      <c r="BP591" t="s">
        <v>74</v>
      </c>
      <c r="BQ591" t="s">
        <v>74</v>
      </c>
      <c r="BR591" t="s">
        <v>100</v>
      </c>
      <c r="BS591" t="s">
        <v>9210</v>
      </c>
      <c r="BT591" t="str">
        <f>HYPERLINK("https%3A%2F%2Fwww.webofscience.com%2Fwos%2Fwoscc%2Ffull-record%2FWOS:000236204300038","View Full Record in Web of Science")</f>
        <v>View Full Record in Web of Science</v>
      </c>
    </row>
    <row r="592" spans="1:72" x14ac:dyDescent="0.15">
      <c r="A592" t="s">
        <v>72</v>
      </c>
      <c r="B592" t="s">
        <v>9211</v>
      </c>
      <c r="C592" t="s">
        <v>74</v>
      </c>
      <c r="D592" t="s">
        <v>74</v>
      </c>
      <c r="E592" t="s">
        <v>74</v>
      </c>
      <c r="F592" t="s">
        <v>9211</v>
      </c>
      <c r="G592" t="s">
        <v>74</v>
      </c>
      <c r="H592" t="s">
        <v>74</v>
      </c>
      <c r="I592" t="s">
        <v>9212</v>
      </c>
      <c r="J592" t="s">
        <v>4036</v>
      </c>
      <c r="K592" t="s">
        <v>74</v>
      </c>
      <c r="L592" t="s">
        <v>74</v>
      </c>
      <c r="M592" t="s">
        <v>78</v>
      </c>
      <c r="N592" t="s">
        <v>79</v>
      </c>
      <c r="O592" t="s">
        <v>74</v>
      </c>
      <c r="P592" t="s">
        <v>74</v>
      </c>
      <c r="Q592" t="s">
        <v>74</v>
      </c>
      <c r="R592" t="s">
        <v>74</v>
      </c>
      <c r="S592" t="s">
        <v>74</v>
      </c>
      <c r="T592" t="s">
        <v>74</v>
      </c>
      <c r="U592" t="s">
        <v>9213</v>
      </c>
      <c r="V592" t="s">
        <v>9214</v>
      </c>
      <c r="W592" t="s">
        <v>9215</v>
      </c>
      <c r="X592" t="s">
        <v>9216</v>
      </c>
      <c r="Y592" t="s">
        <v>7928</v>
      </c>
      <c r="Z592" t="s">
        <v>9217</v>
      </c>
      <c r="AA592" t="s">
        <v>9218</v>
      </c>
      <c r="AB592" t="s">
        <v>9219</v>
      </c>
      <c r="AC592" t="s">
        <v>579</v>
      </c>
      <c r="AD592" t="s">
        <v>413</v>
      </c>
      <c r="AE592" t="s">
        <v>74</v>
      </c>
      <c r="AF592" t="s">
        <v>74</v>
      </c>
      <c r="AG592">
        <v>50</v>
      </c>
      <c r="AH592">
        <v>414</v>
      </c>
      <c r="AI592">
        <v>469</v>
      </c>
      <c r="AJ592">
        <v>4</v>
      </c>
      <c r="AK592">
        <v>125</v>
      </c>
      <c r="AL592" t="s">
        <v>556</v>
      </c>
      <c r="AM592" t="s">
        <v>557</v>
      </c>
      <c r="AN592" t="s">
        <v>558</v>
      </c>
      <c r="AO592" t="s">
        <v>4045</v>
      </c>
      <c r="AP592" t="s">
        <v>5588</v>
      </c>
      <c r="AQ592" t="s">
        <v>74</v>
      </c>
      <c r="AR592" t="s">
        <v>4036</v>
      </c>
      <c r="AS592" t="s">
        <v>4046</v>
      </c>
      <c r="AT592" t="s">
        <v>9220</v>
      </c>
      <c r="AU592">
        <v>2006</v>
      </c>
      <c r="AV592">
        <v>440</v>
      </c>
      <c r="AW592">
        <v>7083</v>
      </c>
      <c r="AX592" t="s">
        <v>74</v>
      </c>
      <c r="AY592" t="s">
        <v>74</v>
      </c>
      <c r="AZ592" t="s">
        <v>74</v>
      </c>
      <c r="BA592" t="s">
        <v>74</v>
      </c>
      <c r="BB592">
        <v>491</v>
      </c>
      <c r="BC592">
        <v>496</v>
      </c>
      <c r="BD592" t="s">
        <v>74</v>
      </c>
      <c r="BE592" t="s">
        <v>9221</v>
      </c>
      <c r="BF592" t="str">
        <f>HYPERLINK("http://dx.doi.org/10.1038/nature04614","http://dx.doi.org/10.1038/nature04614")</f>
        <v>http://dx.doi.org/10.1038/nature04614</v>
      </c>
      <c r="BG592" t="s">
        <v>74</v>
      </c>
      <c r="BH592" t="s">
        <v>74</v>
      </c>
      <c r="BI592">
        <v>6</v>
      </c>
      <c r="BJ592" t="s">
        <v>1841</v>
      </c>
      <c r="BK592" t="s">
        <v>97</v>
      </c>
      <c r="BL592" t="s">
        <v>1842</v>
      </c>
      <c r="BM592" t="s">
        <v>9222</v>
      </c>
      <c r="BN592">
        <v>16554810</v>
      </c>
      <c r="BO592" t="s">
        <v>1767</v>
      </c>
      <c r="BP592" t="s">
        <v>74</v>
      </c>
      <c r="BQ592" t="s">
        <v>74</v>
      </c>
      <c r="BR592" t="s">
        <v>100</v>
      </c>
      <c r="BS592" t="s">
        <v>9223</v>
      </c>
      <c r="BT592" t="str">
        <f>HYPERLINK("https%3A%2F%2Fwww.webofscience.com%2Fwos%2Fwoscc%2Ffull-record%2FWOS:000236176100047","View Full Record in Web of Science")</f>
        <v>View Full Record in Web of Science</v>
      </c>
    </row>
    <row r="593" spans="1:72" x14ac:dyDescent="0.15">
      <c r="A593" t="s">
        <v>72</v>
      </c>
      <c r="B593" t="s">
        <v>9224</v>
      </c>
      <c r="C593" t="s">
        <v>74</v>
      </c>
      <c r="D593" t="s">
        <v>74</v>
      </c>
      <c r="E593" t="s">
        <v>74</v>
      </c>
      <c r="F593" t="s">
        <v>9225</v>
      </c>
      <c r="G593" t="s">
        <v>74</v>
      </c>
      <c r="H593" t="s">
        <v>74</v>
      </c>
      <c r="I593" t="s">
        <v>9226</v>
      </c>
      <c r="J593" t="s">
        <v>3989</v>
      </c>
      <c r="K593" t="s">
        <v>74</v>
      </c>
      <c r="L593" t="s">
        <v>74</v>
      </c>
      <c r="M593" t="s">
        <v>78</v>
      </c>
      <c r="N593" t="s">
        <v>79</v>
      </c>
      <c r="O593" t="s">
        <v>74</v>
      </c>
      <c r="P593" t="s">
        <v>74</v>
      </c>
      <c r="Q593" t="s">
        <v>74</v>
      </c>
      <c r="R593" t="s">
        <v>74</v>
      </c>
      <c r="S593" t="s">
        <v>74</v>
      </c>
      <c r="T593" t="s">
        <v>9227</v>
      </c>
      <c r="U593" t="s">
        <v>9228</v>
      </c>
      <c r="V593" t="s">
        <v>9229</v>
      </c>
      <c r="W593" t="s">
        <v>9230</v>
      </c>
      <c r="X593" t="s">
        <v>9231</v>
      </c>
      <c r="Y593" t="s">
        <v>9232</v>
      </c>
      <c r="Z593" t="s">
        <v>9233</v>
      </c>
      <c r="AA593" t="s">
        <v>9234</v>
      </c>
      <c r="AB593" t="s">
        <v>9235</v>
      </c>
      <c r="AC593" t="s">
        <v>74</v>
      </c>
      <c r="AD593" t="s">
        <v>74</v>
      </c>
      <c r="AE593" t="s">
        <v>74</v>
      </c>
      <c r="AF593" t="s">
        <v>74</v>
      </c>
      <c r="AG593">
        <v>19</v>
      </c>
      <c r="AH593">
        <v>29</v>
      </c>
      <c r="AI593">
        <v>30</v>
      </c>
      <c r="AJ593">
        <v>0</v>
      </c>
      <c r="AK593">
        <v>9</v>
      </c>
      <c r="AL593" t="s">
        <v>2185</v>
      </c>
      <c r="AM593" t="s">
        <v>557</v>
      </c>
      <c r="AN593" t="s">
        <v>2165</v>
      </c>
      <c r="AO593" t="s">
        <v>3997</v>
      </c>
      <c r="AP593" t="s">
        <v>3998</v>
      </c>
      <c r="AQ593" t="s">
        <v>74</v>
      </c>
      <c r="AR593" t="s">
        <v>3999</v>
      </c>
      <c r="AS593" t="s">
        <v>4000</v>
      </c>
      <c r="AT593" t="s">
        <v>9236</v>
      </c>
      <c r="AU593">
        <v>2006</v>
      </c>
      <c r="AV593">
        <v>2</v>
      </c>
      <c r="AW593">
        <v>1</v>
      </c>
      <c r="AX593" t="s">
        <v>74</v>
      </c>
      <c r="AY593" t="s">
        <v>74</v>
      </c>
      <c r="AZ593" t="s">
        <v>74</v>
      </c>
      <c r="BA593" t="s">
        <v>74</v>
      </c>
      <c r="BB593">
        <v>51</v>
      </c>
      <c r="BC593">
        <v>54</v>
      </c>
      <c r="BD593" t="s">
        <v>74</v>
      </c>
      <c r="BE593" t="s">
        <v>9237</v>
      </c>
      <c r="BF593" t="str">
        <f>HYPERLINK("http://dx.doi.org/10.1098/rsbl.2005.0384","http://dx.doi.org/10.1098/rsbl.2005.0384")</f>
        <v>http://dx.doi.org/10.1098/rsbl.2005.0384</v>
      </c>
      <c r="BG593" t="s">
        <v>74</v>
      </c>
      <c r="BH593" t="s">
        <v>74</v>
      </c>
      <c r="BI593">
        <v>4</v>
      </c>
      <c r="BJ593" t="s">
        <v>2537</v>
      </c>
      <c r="BK593" t="s">
        <v>97</v>
      </c>
      <c r="BL593" t="s">
        <v>2538</v>
      </c>
      <c r="BM593" t="s">
        <v>9238</v>
      </c>
      <c r="BN593">
        <v>17148324</v>
      </c>
      <c r="BO593" t="s">
        <v>99</v>
      </c>
      <c r="BP593" t="s">
        <v>74</v>
      </c>
      <c r="BQ593" t="s">
        <v>74</v>
      </c>
      <c r="BR593" t="s">
        <v>100</v>
      </c>
      <c r="BS593" t="s">
        <v>9239</v>
      </c>
      <c r="BT593" t="str">
        <f>HYPERLINK("https%3A%2F%2Fwww.webofscience.com%2Fwos%2Fwoscc%2Ffull-record%2FWOS:000241958200015","View Full Record in Web of Science")</f>
        <v>View Full Record in Web of Science</v>
      </c>
    </row>
    <row r="594" spans="1:72" x14ac:dyDescent="0.15">
      <c r="A594" t="s">
        <v>72</v>
      </c>
      <c r="B594" t="s">
        <v>9240</v>
      </c>
      <c r="C594" t="s">
        <v>74</v>
      </c>
      <c r="D594" t="s">
        <v>74</v>
      </c>
      <c r="E594" t="s">
        <v>74</v>
      </c>
      <c r="F594" t="s">
        <v>9241</v>
      </c>
      <c r="G594" t="s">
        <v>74</v>
      </c>
      <c r="H594" t="s">
        <v>74</v>
      </c>
      <c r="I594" t="s">
        <v>9242</v>
      </c>
      <c r="J594" t="s">
        <v>3989</v>
      </c>
      <c r="K594" t="s">
        <v>74</v>
      </c>
      <c r="L594" t="s">
        <v>74</v>
      </c>
      <c r="M594" t="s">
        <v>78</v>
      </c>
      <c r="N594" t="s">
        <v>79</v>
      </c>
      <c r="O594" t="s">
        <v>74</v>
      </c>
      <c r="P594" t="s">
        <v>74</v>
      </c>
      <c r="Q594" t="s">
        <v>74</v>
      </c>
      <c r="R594" t="s">
        <v>74</v>
      </c>
      <c r="S594" t="s">
        <v>74</v>
      </c>
      <c r="T594" t="s">
        <v>9243</v>
      </c>
      <c r="U594" t="s">
        <v>9244</v>
      </c>
      <c r="V594" t="s">
        <v>9245</v>
      </c>
      <c r="W594" t="s">
        <v>9246</v>
      </c>
      <c r="X594" t="s">
        <v>9247</v>
      </c>
      <c r="Y594" t="s">
        <v>9248</v>
      </c>
      <c r="Z594" t="s">
        <v>9249</v>
      </c>
      <c r="AA594" t="s">
        <v>74</v>
      </c>
      <c r="AB594" t="s">
        <v>74</v>
      </c>
      <c r="AC594" t="s">
        <v>74</v>
      </c>
      <c r="AD594" t="s">
        <v>74</v>
      </c>
      <c r="AE594" t="s">
        <v>74</v>
      </c>
      <c r="AF594" t="s">
        <v>74</v>
      </c>
      <c r="AG594">
        <v>20</v>
      </c>
      <c r="AH594">
        <v>75</v>
      </c>
      <c r="AI594">
        <v>84</v>
      </c>
      <c r="AJ594">
        <v>2</v>
      </c>
      <c r="AK594">
        <v>51</v>
      </c>
      <c r="AL594" t="s">
        <v>2164</v>
      </c>
      <c r="AM594" t="s">
        <v>557</v>
      </c>
      <c r="AN594" t="s">
        <v>2165</v>
      </c>
      <c r="AO594" t="s">
        <v>3997</v>
      </c>
      <c r="AP594" t="s">
        <v>74</v>
      </c>
      <c r="AQ594" t="s">
        <v>74</v>
      </c>
      <c r="AR594" t="s">
        <v>9250</v>
      </c>
      <c r="AS594" t="s">
        <v>4000</v>
      </c>
      <c r="AT594" t="s">
        <v>9236</v>
      </c>
      <c r="AU594">
        <v>2006</v>
      </c>
      <c r="AV594">
        <v>2</v>
      </c>
      <c r="AW594">
        <v>1</v>
      </c>
      <c r="AX594" t="s">
        <v>74</v>
      </c>
      <c r="AY594" t="s">
        <v>74</v>
      </c>
      <c r="AZ594" t="s">
        <v>74</v>
      </c>
      <c r="BA594" t="s">
        <v>74</v>
      </c>
      <c r="BB594">
        <v>106</v>
      </c>
      <c r="BC594">
        <v>109</v>
      </c>
      <c r="BD594" t="s">
        <v>74</v>
      </c>
      <c r="BE594" t="s">
        <v>9251</v>
      </c>
      <c r="BF594" t="str">
        <f>HYPERLINK("http://dx.doi.org/10.1098/rsbl.2005.0380","http://dx.doi.org/10.1098/rsbl.2005.0380")</f>
        <v>http://dx.doi.org/10.1098/rsbl.2005.0380</v>
      </c>
      <c r="BG594" t="s">
        <v>74</v>
      </c>
      <c r="BH594" t="s">
        <v>74</v>
      </c>
      <c r="BI594">
        <v>4</v>
      </c>
      <c r="BJ594" t="s">
        <v>2537</v>
      </c>
      <c r="BK594" t="s">
        <v>97</v>
      </c>
      <c r="BL594" t="s">
        <v>2538</v>
      </c>
      <c r="BM594" t="s">
        <v>9238</v>
      </c>
      <c r="BN594">
        <v>17148339</v>
      </c>
      <c r="BO594" t="s">
        <v>99</v>
      </c>
      <c r="BP594" t="s">
        <v>74</v>
      </c>
      <c r="BQ594" t="s">
        <v>74</v>
      </c>
      <c r="BR594" t="s">
        <v>100</v>
      </c>
      <c r="BS594" t="s">
        <v>9252</v>
      </c>
      <c r="BT594" t="str">
        <f>HYPERLINK("https%3A%2F%2Fwww.webofscience.com%2Fwos%2Fwoscc%2Ffull-record%2FWOS:000241958200030","View Full Record in Web of Science")</f>
        <v>View Full Record in Web of Science</v>
      </c>
    </row>
    <row r="595" spans="1:72" x14ac:dyDescent="0.15">
      <c r="A595" t="s">
        <v>72</v>
      </c>
      <c r="B595" t="s">
        <v>9253</v>
      </c>
      <c r="C595" t="s">
        <v>74</v>
      </c>
      <c r="D595" t="s">
        <v>74</v>
      </c>
      <c r="E595" t="s">
        <v>74</v>
      </c>
      <c r="F595" t="s">
        <v>9253</v>
      </c>
      <c r="G595" t="s">
        <v>74</v>
      </c>
      <c r="H595" t="s">
        <v>74</v>
      </c>
      <c r="I595" t="s">
        <v>9254</v>
      </c>
      <c r="J595" t="s">
        <v>3963</v>
      </c>
      <c r="K595" t="s">
        <v>74</v>
      </c>
      <c r="L595" t="s">
        <v>74</v>
      </c>
      <c r="M595" t="s">
        <v>78</v>
      </c>
      <c r="N595" t="s">
        <v>511</v>
      </c>
      <c r="O595" t="s">
        <v>74</v>
      </c>
      <c r="P595" t="s">
        <v>74</v>
      </c>
      <c r="Q595" t="s">
        <v>74</v>
      </c>
      <c r="R595" t="s">
        <v>74</v>
      </c>
      <c r="S595" t="s">
        <v>74</v>
      </c>
      <c r="T595" t="s">
        <v>9255</v>
      </c>
      <c r="U595" t="s">
        <v>9256</v>
      </c>
      <c r="V595" t="s">
        <v>9257</v>
      </c>
      <c r="W595" t="s">
        <v>9258</v>
      </c>
      <c r="X595" t="s">
        <v>9259</v>
      </c>
      <c r="Y595" t="s">
        <v>9260</v>
      </c>
      <c r="Z595" t="s">
        <v>9261</v>
      </c>
      <c r="AA595" t="s">
        <v>9262</v>
      </c>
      <c r="AB595" t="s">
        <v>9263</v>
      </c>
      <c r="AC595" t="s">
        <v>74</v>
      </c>
      <c r="AD595" t="s">
        <v>74</v>
      </c>
      <c r="AE595" t="s">
        <v>74</v>
      </c>
      <c r="AF595" t="s">
        <v>74</v>
      </c>
      <c r="AG595">
        <v>111</v>
      </c>
      <c r="AH595">
        <v>88</v>
      </c>
      <c r="AI595">
        <v>108</v>
      </c>
      <c r="AJ595">
        <v>8</v>
      </c>
      <c r="AK595">
        <v>82</v>
      </c>
      <c r="AL595" t="s">
        <v>519</v>
      </c>
      <c r="AM595" t="s">
        <v>520</v>
      </c>
      <c r="AN595" t="s">
        <v>521</v>
      </c>
      <c r="AO595" t="s">
        <v>3976</v>
      </c>
      <c r="AP595" t="s">
        <v>3977</v>
      </c>
      <c r="AQ595" t="s">
        <v>74</v>
      </c>
      <c r="AR595" t="s">
        <v>3978</v>
      </c>
      <c r="AS595" t="s">
        <v>3979</v>
      </c>
      <c r="AT595" t="s">
        <v>9236</v>
      </c>
      <c r="AU595">
        <v>2006</v>
      </c>
      <c r="AV595">
        <v>232</v>
      </c>
      <c r="AW595" t="s">
        <v>9264</v>
      </c>
      <c r="AX595" t="s">
        <v>74</v>
      </c>
      <c r="AY595" t="s">
        <v>74</v>
      </c>
      <c r="AZ595" t="s">
        <v>74</v>
      </c>
      <c r="BA595" t="s">
        <v>74</v>
      </c>
      <c r="BB595">
        <v>114</v>
      </c>
      <c r="BC595">
        <v>130</v>
      </c>
      <c r="BD595" t="s">
        <v>74</v>
      </c>
      <c r="BE595" t="s">
        <v>9265</v>
      </c>
      <c r="BF595" t="str">
        <f>HYPERLINK("http://dx.doi.org/10.1016/j.palaeo.2005.10.030","http://dx.doi.org/10.1016/j.palaeo.2005.10.030")</f>
        <v>http://dx.doi.org/10.1016/j.palaeo.2005.10.030</v>
      </c>
      <c r="BG595" t="s">
        <v>74</v>
      </c>
      <c r="BH595" t="s">
        <v>74</v>
      </c>
      <c r="BI595">
        <v>17</v>
      </c>
      <c r="BJ595" t="s">
        <v>3982</v>
      </c>
      <c r="BK595" t="s">
        <v>97</v>
      </c>
      <c r="BL595" t="s">
        <v>3983</v>
      </c>
      <c r="BM595" t="s">
        <v>9266</v>
      </c>
      <c r="BN595" t="s">
        <v>74</v>
      </c>
      <c r="BO595" t="s">
        <v>74</v>
      </c>
      <c r="BP595" t="s">
        <v>74</v>
      </c>
      <c r="BQ595" t="s">
        <v>74</v>
      </c>
      <c r="BR595" t="s">
        <v>100</v>
      </c>
      <c r="BS595" t="s">
        <v>9267</v>
      </c>
      <c r="BT595" t="str">
        <f>HYPERLINK("https%3A%2F%2Fwww.webofscience.com%2Fwos%2Fwoscc%2Ffull-record%2FWOS:000236519100003","View Full Record in Web of Science")</f>
        <v>View Full Record in Web of Science</v>
      </c>
    </row>
    <row r="596" spans="1:72" x14ac:dyDescent="0.15">
      <c r="A596" t="s">
        <v>72</v>
      </c>
      <c r="B596" t="s">
        <v>9268</v>
      </c>
      <c r="C596" t="s">
        <v>74</v>
      </c>
      <c r="D596" t="s">
        <v>74</v>
      </c>
      <c r="E596" t="s">
        <v>74</v>
      </c>
      <c r="F596" t="s">
        <v>9268</v>
      </c>
      <c r="G596" t="s">
        <v>74</v>
      </c>
      <c r="H596" t="s">
        <v>74</v>
      </c>
      <c r="I596" t="s">
        <v>9269</v>
      </c>
      <c r="J596" t="s">
        <v>1748</v>
      </c>
      <c r="K596" t="s">
        <v>74</v>
      </c>
      <c r="L596" t="s">
        <v>74</v>
      </c>
      <c r="M596" t="s">
        <v>78</v>
      </c>
      <c r="N596" t="s">
        <v>79</v>
      </c>
      <c r="O596" t="s">
        <v>74</v>
      </c>
      <c r="P596" t="s">
        <v>74</v>
      </c>
      <c r="Q596" t="s">
        <v>74</v>
      </c>
      <c r="R596" t="s">
        <v>74</v>
      </c>
      <c r="S596" t="s">
        <v>74</v>
      </c>
      <c r="T596" t="s">
        <v>74</v>
      </c>
      <c r="U596" t="s">
        <v>9270</v>
      </c>
      <c r="V596" t="s">
        <v>9271</v>
      </c>
      <c r="W596" t="s">
        <v>9272</v>
      </c>
      <c r="X596" t="s">
        <v>9273</v>
      </c>
      <c r="Y596" t="s">
        <v>9274</v>
      </c>
      <c r="Z596" t="s">
        <v>9275</v>
      </c>
      <c r="AA596" t="s">
        <v>9276</v>
      </c>
      <c r="AB596" t="s">
        <v>9277</v>
      </c>
      <c r="AC596" t="s">
        <v>74</v>
      </c>
      <c r="AD596" t="s">
        <v>74</v>
      </c>
      <c r="AE596" t="s">
        <v>74</v>
      </c>
      <c r="AF596" t="s">
        <v>74</v>
      </c>
      <c r="AG596">
        <v>19</v>
      </c>
      <c r="AH596">
        <v>19</v>
      </c>
      <c r="AI596">
        <v>19</v>
      </c>
      <c r="AJ596">
        <v>4</v>
      </c>
      <c r="AK596">
        <v>10</v>
      </c>
      <c r="AL596" t="s">
        <v>1757</v>
      </c>
      <c r="AM596" t="s">
        <v>88</v>
      </c>
      <c r="AN596" t="s">
        <v>1758</v>
      </c>
      <c r="AO596" t="s">
        <v>1759</v>
      </c>
      <c r="AP596" t="s">
        <v>74</v>
      </c>
      <c r="AQ596" t="s">
        <v>74</v>
      </c>
      <c r="AR596" t="s">
        <v>1761</v>
      </c>
      <c r="AS596" t="s">
        <v>1762</v>
      </c>
      <c r="AT596" t="s">
        <v>9278</v>
      </c>
      <c r="AU596">
        <v>2006</v>
      </c>
      <c r="AV596">
        <v>33</v>
      </c>
      <c r="AW596">
        <v>6</v>
      </c>
      <c r="AX596" t="s">
        <v>74</v>
      </c>
      <c r="AY596" t="s">
        <v>74</v>
      </c>
      <c r="AZ596" t="s">
        <v>74</v>
      </c>
      <c r="BA596" t="s">
        <v>74</v>
      </c>
      <c r="BB596" t="s">
        <v>74</v>
      </c>
      <c r="BC596" t="s">
        <v>74</v>
      </c>
      <c r="BD596" t="s">
        <v>9279</v>
      </c>
      <c r="BE596" t="s">
        <v>9280</v>
      </c>
      <c r="BF596" t="str">
        <f>HYPERLINK("http://dx.doi.org/10.1029/2005GL024602","http://dx.doi.org/10.1029/2005GL024602")</f>
        <v>http://dx.doi.org/10.1029/2005GL024602</v>
      </c>
      <c r="BG596" t="s">
        <v>74</v>
      </c>
      <c r="BH596" t="s">
        <v>74</v>
      </c>
      <c r="BI596">
        <v>4</v>
      </c>
      <c r="BJ596" t="s">
        <v>527</v>
      </c>
      <c r="BK596" t="s">
        <v>97</v>
      </c>
      <c r="BL596" t="s">
        <v>528</v>
      </c>
      <c r="BM596" t="s">
        <v>9281</v>
      </c>
      <c r="BN596" t="s">
        <v>74</v>
      </c>
      <c r="BO596" t="s">
        <v>74</v>
      </c>
      <c r="BP596" t="s">
        <v>74</v>
      </c>
      <c r="BQ596" t="s">
        <v>74</v>
      </c>
      <c r="BR596" t="s">
        <v>100</v>
      </c>
      <c r="BS596" t="s">
        <v>9282</v>
      </c>
      <c r="BT596" t="str">
        <f>HYPERLINK("https%3A%2F%2Fwww.webofscience.com%2Fwos%2Fwoscc%2Ffull-record%2FWOS:000236331200002","View Full Record in Web of Science")</f>
        <v>View Full Record in Web of Science</v>
      </c>
    </row>
    <row r="597" spans="1:72" x14ac:dyDescent="0.15">
      <c r="A597" t="s">
        <v>72</v>
      </c>
      <c r="B597" t="s">
        <v>9283</v>
      </c>
      <c r="C597" t="s">
        <v>74</v>
      </c>
      <c r="D597" t="s">
        <v>74</v>
      </c>
      <c r="E597" t="s">
        <v>74</v>
      </c>
      <c r="F597" t="s">
        <v>9283</v>
      </c>
      <c r="G597" t="s">
        <v>74</v>
      </c>
      <c r="H597" t="s">
        <v>74</v>
      </c>
      <c r="I597" t="s">
        <v>9284</v>
      </c>
      <c r="J597" t="s">
        <v>3877</v>
      </c>
      <c r="K597" t="s">
        <v>74</v>
      </c>
      <c r="L597" t="s">
        <v>74</v>
      </c>
      <c r="M597" t="s">
        <v>78</v>
      </c>
      <c r="N597" t="s">
        <v>79</v>
      </c>
      <c r="O597" t="s">
        <v>74</v>
      </c>
      <c r="P597" t="s">
        <v>74</v>
      </c>
      <c r="Q597" t="s">
        <v>74</v>
      </c>
      <c r="R597" t="s">
        <v>74</v>
      </c>
      <c r="S597" t="s">
        <v>74</v>
      </c>
      <c r="T597" t="s">
        <v>74</v>
      </c>
      <c r="U597" t="s">
        <v>9285</v>
      </c>
      <c r="V597" t="s">
        <v>9286</v>
      </c>
      <c r="W597" t="s">
        <v>9287</v>
      </c>
      <c r="X597" t="s">
        <v>9288</v>
      </c>
      <c r="Y597" t="s">
        <v>9289</v>
      </c>
      <c r="Z597" t="s">
        <v>9290</v>
      </c>
      <c r="AA597" t="s">
        <v>74</v>
      </c>
      <c r="AB597" t="s">
        <v>74</v>
      </c>
      <c r="AC597" t="s">
        <v>74</v>
      </c>
      <c r="AD597" t="s">
        <v>74</v>
      </c>
      <c r="AE597" t="s">
        <v>74</v>
      </c>
      <c r="AF597" t="s">
        <v>74</v>
      </c>
      <c r="AG597">
        <v>69</v>
      </c>
      <c r="AH597">
        <v>102</v>
      </c>
      <c r="AI597">
        <v>111</v>
      </c>
      <c r="AJ597">
        <v>0</v>
      </c>
      <c r="AK597">
        <v>33</v>
      </c>
      <c r="AL597" t="s">
        <v>1757</v>
      </c>
      <c r="AM597" t="s">
        <v>88</v>
      </c>
      <c r="AN597" t="s">
        <v>1758</v>
      </c>
      <c r="AO597" t="s">
        <v>3886</v>
      </c>
      <c r="AP597" t="s">
        <v>3887</v>
      </c>
      <c r="AQ597" t="s">
        <v>74</v>
      </c>
      <c r="AR597" t="s">
        <v>3888</v>
      </c>
      <c r="AS597" t="s">
        <v>3889</v>
      </c>
      <c r="AT597" t="s">
        <v>9278</v>
      </c>
      <c r="AU597">
        <v>2006</v>
      </c>
      <c r="AV597">
        <v>20</v>
      </c>
      <c r="AW597">
        <v>1</v>
      </c>
      <c r="AX597" t="s">
        <v>74</v>
      </c>
      <c r="AY597" t="s">
        <v>74</v>
      </c>
      <c r="AZ597" t="s">
        <v>74</v>
      </c>
      <c r="BA597" t="s">
        <v>74</v>
      </c>
      <c r="BB597" t="s">
        <v>74</v>
      </c>
      <c r="BC597" t="s">
        <v>74</v>
      </c>
      <c r="BD597" t="s">
        <v>9291</v>
      </c>
      <c r="BE597" t="s">
        <v>9292</v>
      </c>
      <c r="BF597" t="str">
        <f>HYPERLINK("http://dx.doi.org/10.1029/2005GB002505","http://dx.doi.org/10.1029/2005GB002505")</f>
        <v>http://dx.doi.org/10.1029/2005GB002505</v>
      </c>
      <c r="BG597" t="s">
        <v>74</v>
      </c>
      <c r="BH597" t="s">
        <v>74</v>
      </c>
      <c r="BI597">
        <v>14</v>
      </c>
      <c r="BJ597" t="s">
        <v>3892</v>
      </c>
      <c r="BK597" t="s">
        <v>97</v>
      </c>
      <c r="BL597" t="s">
        <v>3893</v>
      </c>
      <c r="BM597" t="s">
        <v>9293</v>
      </c>
      <c r="BN597" t="s">
        <v>74</v>
      </c>
      <c r="BO597" t="s">
        <v>1767</v>
      </c>
      <c r="BP597" t="s">
        <v>74</v>
      </c>
      <c r="BQ597" t="s">
        <v>74</v>
      </c>
      <c r="BR597" t="s">
        <v>100</v>
      </c>
      <c r="BS597" t="s">
        <v>9294</v>
      </c>
      <c r="BT597" t="str">
        <f>HYPERLINK("https%3A%2F%2Fwww.webofscience.com%2Fwos%2Fwoscc%2Ffull-record%2FWOS:000236331600001","View Full Record in Web of Science")</f>
        <v>View Full Record in Web of Science</v>
      </c>
    </row>
    <row r="598" spans="1:72" x14ac:dyDescent="0.15">
      <c r="A598" t="s">
        <v>72</v>
      </c>
      <c r="B598" t="s">
        <v>9295</v>
      </c>
      <c r="C598" t="s">
        <v>74</v>
      </c>
      <c r="D598" t="s">
        <v>74</v>
      </c>
      <c r="E598" t="s">
        <v>74</v>
      </c>
      <c r="F598" t="s">
        <v>9295</v>
      </c>
      <c r="G598" t="s">
        <v>74</v>
      </c>
      <c r="H598" t="s">
        <v>74</v>
      </c>
      <c r="I598" t="s">
        <v>9296</v>
      </c>
      <c r="J598" t="s">
        <v>4106</v>
      </c>
      <c r="K598" t="s">
        <v>74</v>
      </c>
      <c r="L598" t="s">
        <v>74</v>
      </c>
      <c r="M598" t="s">
        <v>78</v>
      </c>
      <c r="N598" t="s">
        <v>79</v>
      </c>
      <c r="O598" t="s">
        <v>74</v>
      </c>
      <c r="P598" t="s">
        <v>74</v>
      </c>
      <c r="Q598" t="s">
        <v>74</v>
      </c>
      <c r="R598" t="s">
        <v>74</v>
      </c>
      <c r="S598" t="s">
        <v>74</v>
      </c>
      <c r="T598" t="s">
        <v>74</v>
      </c>
      <c r="U598" t="s">
        <v>9297</v>
      </c>
      <c r="V598" t="s">
        <v>9298</v>
      </c>
      <c r="W598" t="s">
        <v>9299</v>
      </c>
      <c r="X598" t="s">
        <v>9300</v>
      </c>
      <c r="Y598" t="s">
        <v>9301</v>
      </c>
      <c r="Z598" t="s">
        <v>9302</v>
      </c>
      <c r="AA598" t="s">
        <v>9303</v>
      </c>
      <c r="AB598" t="s">
        <v>9304</v>
      </c>
      <c r="AC598" t="s">
        <v>74</v>
      </c>
      <c r="AD598" t="s">
        <v>74</v>
      </c>
      <c r="AE598" t="s">
        <v>74</v>
      </c>
      <c r="AF598" t="s">
        <v>74</v>
      </c>
      <c r="AG598">
        <v>20</v>
      </c>
      <c r="AH598">
        <v>11</v>
      </c>
      <c r="AI598">
        <v>13</v>
      </c>
      <c r="AJ598">
        <v>0</v>
      </c>
      <c r="AK598">
        <v>4</v>
      </c>
      <c r="AL598" t="s">
        <v>1757</v>
      </c>
      <c r="AM598" t="s">
        <v>88</v>
      </c>
      <c r="AN598" t="s">
        <v>1758</v>
      </c>
      <c r="AO598" t="s">
        <v>4115</v>
      </c>
      <c r="AP598" t="s">
        <v>4116</v>
      </c>
      <c r="AQ598" t="s">
        <v>74</v>
      </c>
      <c r="AR598" t="s">
        <v>4117</v>
      </c>
      <c r="AS598" t="s">
        <v>4118</v>
      </c>
      <c r="AT598" t="s">
        <v>9278</v>
      </c>
      <c r="AU598">
        <v>2006</v>
      </c>
      <c r="AV598">
        <v>111</v>
      </c>
      <c r="AW598" t="s">
        <v>9305</v>
      </c>
      <c r="AX598" t="s">
        <v>74</v>
      </c>
      <c r="AY598" t="s">
        <v>74</v>
      </c>
      <c r="AZ598" t="s">
        <v>74</v>
      </c>
      <c r="BA598" t="s">
        <v>74</v>
      </c>
      <c r="BB598" t="s">
        <v>74</v>
      </c>
      <c r="BC598" t="s">
        <v>74</v>
      </c>
      <c r="BD598" t="s">
        <v>9306</v>
      </c>
      <c r="BE598" t="s">
        <v>9307</v>
      </c>
      <c r="BF598" t="str">
        <f>HYPERLINK("http://dx.doi.org/10.1029/2005JF000393","http://dx.doi.org/10.1029/2005JF000393")</f>
        <v>http://dx.doi.org/10.1029/2005JF000393</v>
      </c>
      <c r="BG598" t="s">
        <v>74</v>
      </c>
      <c r="BH598" t="s">
        <v>74</v>
      </c>
      <c r="BI598">
        <v>8</v>
      </c>
      <c r="BJ598" t="s">
        <v>527</v>
      </c>
      <c r="BK598" t="s">
        <v>97</v>
      </c>
      <c r="BL598" t="s">
        <v>528</v>
      </c>
      <c r="BM598" t="s">
        <v>9308</v>
      </c>
      <c r="BN598" t="s">
        <v>74</v>
      </c>
      <c r="BO598" t="s">
        <v>460</v>
      </c>
      <c r="BP598" t="s">
        <v>74</v>
      </c>
      <c r="BQ598" t="s">
        <v>74</v>
      </c>
      <c r="BR598" t="s">
        <v>100</v>
      </c>
      <c r="BS598" t="s">
        <v>9309</v>
      </c>
      <c r="BT598" t="str">
        <f>HYPERLINK("https%3A%2F%2Fwww.webofscience.com%2Fwos%2Fwoscc%2Ffull-record%2FWOS:000236332800002","View Full Record in Web of Science")</f>
        <v>View Full Record in Web of Science</v>
      </c>
    </row>
    <row r="599" spans="1:72" x14ac:dyDescent="0.15">
      <c r="A599" t="s">
        <v>72</v>
      </c>
      <c r="B599" t="s">
        <v>9310</v>
      </c>
      <c r="C599" t="s">
        <v>74</v>
      </c>
      <c r="D599" t="s">
        <v>74</v>
      </c>
      <c r="E599" t="s">
        <v>74</v>
      </c>
      <c r="F599" t="s">
        <v>9310</v>
      </c>
      <c r="G599" t="s">
        <v>74</v>
      </c>
      <c r="H599" t="s">
        <v>74</v>
      </c>
      <c r="I599" t="s">
        <v>9311</v>
      </c>
      <c r="J599" t="s">
        <v>2105</v>
      </c>
      <c r="K599" t="s">
        <v>74</v>
      </c>
      <c r="L599" t="s">
        <v>74</v>
      </c>
      <c r="M599" t="s">
        <v>78</v>
      </c>
      <c r="N599" t="s">
        <v>79</v>
      </c>
      <c r="O599" t="s">
        <v>74</v>
      </c>
      <c r="P599" t="s">
        <v>74</v>
      </c>
      <c r="Q599" t="s">
        <v>74</v>
      </c>
      <c r="R599" t="s">
        <v>74</v>
      </c>
      <c r="S599" t="s">
        <v>74</v>
      </c>
      <c r="T599" t="s">
        <v>74</v>
      </c>
      <c r="U599" t="s">
        <v>9312</v>
      </c>
      <c r="V599" t="s">
        <v>9313</v>
      </c>
      <c r="W599" t="s">
        <v>9314</v>
      </c>
      <c r="X599" t="s">
        <v>9315</v>
      </c>
      <c r="Y599" t="s">
        <v>9316</v>
      </c>
      <c r="Z599" t="s">
        <v>9317</v>
      </c>
      <c r="AA599" t="s">
        <v>9318</v>
      </c>
      <c r="AB599" t="s">
        <v>9319</v>
      </c>
      <c r="AC599" t="s">
        <v>2995</v>
      </c>
      <c r="AD599" t="s">
        <v>1328</v>
      </c>
      <c r="AE599" t="s">
        <v>74</v>
      </c>
      <c r="AF599" t="s">
        <v>74</v>
      </c>
      <c r="AG599">
        <v>25</v>
      </c>
      <c r="AH599">
        <v>31</v>
      </c>
      <c r="AI599">
        <v>31</v>
      </c>
      <c r="AJ599">
        <v>0</v>
      </c>
      <c r="AK599">
        <v>3</v>
      </c>
      <c r="AL599" t="s">
        <v>1757</v>
      </c>
      <c r="AM599" t="s">
        <v>88</v>
      </c>
      <c r="AN599" t="s">
        <v>1758</v>
      </c>
      <c r="AO599" t="s">
        <v>2114</v>
      </c>
      <c r="AP599" t="s">
        <v>2115</v>
      </c>
      <c r="AQ599" t="s">
        <v>74</v>
      </c>
      <c r="AR599" t="s">
        <v>2116</v>
      </c>
      <c r="AS599" t="s">
        <v>2117</v>
      </c>
      <c r="AT599" t="s">
        <v>9278</v>
      </c>
      <c r="AU599">
        <v>2006</v>
      </c>
      <c r="AV599">
        <v>41</v>
      </c>
      <c r="AW599">
        <v>2</v>
      </c>
      <c r="AX599" t="s">
        <v>74</v>
      </c>
      <c r="AY599" t="s">
        <v>74</v>
      </c>
      <c r="AZ599" t="s">
        <v>74</v>
      </c>
      <c r="BA599" t="s">
        <v>74</v>
      </c>
      <c r="BB599" t="s">
        <v>74</v>
      </c>
      <c r="BC599" t="s">
        <v>74</v>
      </c>
      <c r="BD599" t="s">
        <v>9320</v>
      </c>
      <c r="BE599" t="s">
        <v>9321</v>
      </c>
      <c r="BF599" t="str">
        <f>HYPERLINK("http://dx.doi.org/10.1029/2005RS003290","http://dx.doi.org/10.1029/2005RS003290")</f>
        <v>http://dx.doi.org/10.1029/2005RS003290</v>
      </c>
      <c r="BG599" t="s">
        <v>74</v>
      </c>
      <c r="BH599" t="s">
        <v>74</v>
      </c>
      <c r="BI599">
        <v>15</v>
      </c>
      <c r="BJ599" t="s">
        <v>2120</v>
      </c>
      <c r="BK599" t="s">
        <v>97</v>
      </c>
      <c r="BL599" t="s">
        <v>2120</v>
      </c>
      <c r="BM599" t="s">
        <v>9322</v>
      </c>
      <c r="BN599" t="s">
        <v>74</v>
      </c>
      <c r="BO599" t="s">
        <v>460</v>
      </c>
      <c r="BP599" t="s">
        <v>74</v>
      </c>
      <c r="BQ599" t="s">
        <v>74</v>
      </c>
      <c r="BR599" t="s">
        <v>100</v>
      </c>
      <c r="BS599" t="s">
        <v>9323</v>
      </c>
      <c r="BT599" t="str">
        <f>HYPERLINK("https%3A%2F%2Fwww.webofscience.com%2Fwos%2Fwoscc%2Ffull-record%2FWOS:000236335500001","View Full Record in Web of Science")</f>
        <v>View Full Record in Web of Science</v>
      </c>
    </row>
    <row r="600" spans="1:72" x14ac:dyDescent="0.15">
      <c r="A600" t="s">
        <v>72</v>
      </c>
      <c r="B600" t="s">
        <v>9324</v>
      </c>
      <c r="C600" t="s">
        <v>74</v>
      </c>
      <c r="D600" t="s">
        <v>74</v>
      </c>
      <c r="E600" t="s">
        <v>74</v>
      </c>
      <c r="F600" t="s">
        <v>9324</v>
      </c>
      <c r="G600" t="s">
        <v>74</v>
      </c>
      <c r="H600" t="s">
        <v>74</v>
      </c>
      <c r="I600" t="s">
        <v>9325</v>
      </c>
      <c r="J600" t="s">
        <v>1862</v>
      </c>
      <c r="K600" t="s">
        <v>74</v>
      </c>
      <c r="L600" t="s">
        <v>74</v>
      </c>
      <c r="M600" t="s">
        <v>78</v>
      </c>
      <c r="N600" t="s">
        <v>79</v>
      </c>
      <c r="O600" t="s">
        <v>74</v>
      </c>
      <c r="P600" t="s">
        <v>74</v>
      </c>
      <c r="Q600" t="s">
        <v>74</v>
      </c>
      <c r="R600" t="s">
        <v>74</v>
      </c>
      <c r="S600" t="s">
        <v>74</v>
      </c>
      <c r="T600" t="s">
        <v>74</v>
      </c>
      <c r="U600" t="s">
        <v>9326</v>
      </c>
      <c r="V600" t="s">
        <v>9327</v>
      </c>
      <c r="W600" t="s">
        <v>9328</v>
      </c>
      <c r="X600" t="s">
        <v>9329</v>
      </c>
      <c r="Y600" t="s">
        <v>9330</v>
      </c>
      <c r="Z600" t="s">
        <v>9331</v>
      </c>
      <c r="AA600" t="s">
        <v>9332</v>
      </c>
      <c r="AB600" t="s">
        <v>9333</v>
      </c>
      <c r="AC600" t="s">
        <v>74</v>
      </c>
      <c r="AD600" t="s">
        <v>74</v>
      </c>
      <c r="AE600" t="s">
        <v>74</v>
      </c>
      <c r="AF600" t="s">
        <v>74</v>
      </c>
      <c r="AG600">
        <v>22</v>
      </c>
      <c r="AH600">
        <v>38</v>
      </c>
      <c r="AI600">
        <v>40</v>
      </c>
      <c r="AJ600">
        <v>0</v>
      </c>
      <c r="AK600">
        <v>3</v>
      </c>
      <c r="AL600" t="s">
        <v>1757</v>
      </c>
      <c r="AM600" t="s">
        <v>88</v>
      </c>
      <c r="AN600" t="s">
        <v>1758</v>
      </c>
      <c r="AO600" t="s">
        <v>1871</v>
      </c>
      <c r="AP600" t="s">
        <v>1872</v>
      </c>
      <c r="AQ600" t="s">
        <v>74</v>
      </c>
      <c r="AR600" t="s">
        <v>1873</v>
      </c>
      <c r="AS600" t="s">
        <v>1874</v>
      </c>
      <c r="AT600" t="s">
        <v>9334</v>
      </c>
      <c r="AU600">
        <v>2006</v>
      </c>
      <c r="AV600">
        <v>111</v>
      </c>
      <c r="AW600" t="s">
        <v>9335</v>
      </c>
      <c r="AX600" t="s">
        <v>74</v>
      </c>
      <c r="AY600" t="s">
        <v>74</v>
      </c>
      <c r="AZ600" t="s">
        <v>74</v>
      </c>
      <c r="BA600" t="s">
        <v>74</v>
      </c>
      <c r="BB600" t="s">
        <v>74</v>
      </c>
      <c r="BC600" t="s">
        <v>74</v>
      </c>
      <c r="BD600" t="s">
        <v>9336</v>
      </c>
      <c r="BE600" t="s">
        <v>9337</v>
      </c>
      <c r="BF600" t="str">
        <f>HYPERLINK("http://dx.doi.org/10.1029/2005JA011465","http://dx.doi.org/10.1029/2005JA011465")</f>
        <v>http://dx.doi.org/10.1029/2005JA011465</v>
      </c>
      <c r="BG600" t="s">
        <v>74</v>
      </c>
      <c r="BH600" t="s">
        <v>74</v>
      </c>
      <c r="BI600">
        <v>11</v>
      </c>
      <c r="BJ600" t="s">
        <v>1637</v>
      </c>
      <c r="BK600" t="s">
        <v>97</v>
      </c>
      <c r="BL600" t="s">
        <v>1637</v>
      </c>
      <c r="BM600" t="s">
        <v>9338</v>
      </c>
      <c r="BN600" t="s">
        <v>74</v>
      </c>
      <c r="BO600" t="s">
        <v>74</v>
      </c>
      <c r="BP600" t="s">
        <v>74</v>
      </c>
      <c r="BQ600" t="s">
        <v>74</v>
      </c>
      <c r="BR600" t="s">
        <v>100</v>
      </c>
      <c r="BS600" t="s">
        <v>9339</v>
      </c>
      <c r="BT600" t="str">
        <f>HYPERLINK("https%3A%2F%2Fwww.webofscience.com%2Fwos%2Fwoscc%2Ffull-record%2FWOS:000236334800005","View Full Record in Web of Science")</f>
        <v>View Full Record in Web of Science</v>
      </c>
    </row>
    <row r="601" spans="1:72" x14ac:dyDescent="0.15">
      <c r="A601" t="s">
        <v>72</v>
      </c>
      <c r="B601" t="s">
        <v>9340</v>
      </c>
      <c r="C601" t="s">
        <v>74</v>
      </c>
      <c r="D601" t="s">
        <v>74</v>
      </c>
      <c r="E601" t="s">
        <v>74</v>
      </c>
      <c r="F601" t="s">
        <v>9340</v>
      </c>
      <c r="G601" t="s">
        <v>74</v>
      </c>
      <c r="H601" t="s">
        <v>74</v>
      </c>
      <c r="I601" t="s">
        <v>9341</v>
      </c>
      <c r="J601" t="s">
        <v>1748</v>
      </c>
      <c r="K601" t="s">
        <v>74</v>
      </c>
      <c r="L601" t="s">
        <v>74</v>
      </c>
      <c r="M601" t="s">
        <v>78</v>
      </c>
      <c r="N601" t="s">
        <v>79</v>
      </c>
      <c r="O601" t="s">
        <v>74</v>
      </c>
      <c r="P601" t="s">
        <v>74</v>
      </c>
      <c r="Q601" t="s">
        <v>74</v>
      </c>
      <c r="R601" t="s">
        <v>74</v>
      </c>
      <c r="S601" t="s">
        <v>74</v>
      </c>
      <c r="T601" t="s">
        <v>74</v>
      </c>
      <c r="U601" t="s">
        <v>9342</v>
      </c>
      <c r="V601" t="s">
        <v>9343</v>
      </c>
      <c r="W601" t="s">
        <v>9344</v>
      </c>
      <c r="X601" t="s">
        <v>9345</v>
      </c>
      <c r="Y601" t="s">
        <v>9346</v>
      </c>
      <c r="Z601" t="s">
        <v>9347</v>
      </c>
      <c r="AA601" t="s">
        <v>74</v>
      </c>
      <c r="AB601" t="s">
        <v>74</v>
      </c>
      <c r="AC601" t="s">
        <v>74</v>
      </c>
      <c r="AD601" t="s">
        <v>74</v>
      </c>
      <c r="AE601" t="s">
        <v>74</v>
      </c>
      <c r="AF601" t="s">
        <v>74</v>
      </c>
      <c r="AG601">
        <v>11</v>
      </c>
      <c r="AH601">
        <v>170</v>
      </c>
      <c r="AI601">
        <v>176</v>
      </c>
      <c r="AJ601">
        <v>6</v>
      </c>
      <c r="AK601">
        <v>29</v>
      </c>
      <c r="AL601" t="s">
        <v>1757</v>
      </c>
      <c r="AM601" t="s">
        <v>88</v>
      </c>
      <c r="AN601" t="s">
        <v>1758</v>
      </c>
      <c r="AO601" t="s">
        <v>1759</v>
      </c>
      <c r="AP601" t="s">
        <v>1760</v>
      </c>
      <c r="AQ601" t="s">
        <v>74</v>
      </c>
      <c r="AR601" t="s">
        <v>1761</v>
      </c>
      <c r="AS601" t="s">
        <v>1762</v>
      </c>
      <c r="AT601" t="s">
        <v>9348</v>
      </c>
      <c r="AU601">
        <v>2006</v>
      </c>
      <c r="AV601">
        <v>33</v>
      </c>
      <c r="AW601">
        <v>6</v>
      </c>
      <c r="AX601" t="s">
        <v>74</v>
      </c>
      <c r="AY601" t="s">
        <v>74</v>
      </c>
      <c r="AZ601" t="s">
        <v>74</v>
      </c>
      <c r="BA601" t="s">
        <v>74</v>
      </c>
      <c r="BB601" t="s">
        <v>74</v>
      </c>
      <c r="BC601" t="s">
        <v>74</v>
      </c>
      <c r="BD601" t="s">
        <v>9349</v>
      </c>
      <c r="BE601" t="s">
        <v>9350</v>
      </c>
      <c r="BF601" t="str">
        <f>HYPERLINK("http://dx.doi.org/10.1029/2005GL025332","http://dx.doi.org/10.1029/2005GL025332")</f>
        <v>http://dx.doi.org/10.1029/2005GL025332</v>
      </c>
      <c r="BG601" t="s">
        <v>74</v>
      </c>
      <c r="BH601" t="s">
        <v>74</v>
      </c>
      <c r="BI601">
        <v>4</v>
      </c>
      <c r="BJ601" t="s">
        <v>527</v>
      </c>
      <c r="BK601" t="s">
        <v>97</v>
      </c>
      <c r="BL601" t="s">
        <v>528</v>
      </c>
      <c r="BM601" t="s">
        <v>9351</v>
      </c>
      <c r="BN601" t="s">
        <v>74</v>
      </c>
      <c r="BO601" t="s">
        <v>460</v>
      </c>
      <c r="BP601" t="s">
        <v>74</v>
      </c>
      <c r="BQ601" t="s">
        <v>74</v>
      </c>
      <c r="BR601" t="s">
        <v>100</v>
      </c>
      <c r="BS601" t="s">
        <v>9352</v>
      </c>
      <c r="BT601" t="str">
        <f>HYPERLINK("https%3A%2F%2Fwww.webofscience.com%2Fwos%2Fwoscc%2Ffull-record%2FWOS:000236330800007","View Full Record in Web of Science")</f>
        <v>View Full Record in Web of Science</v>
      </c>
    </row>
    <row r="602" spans="1:72" x14ac:dyDescent="0.15">
      <c r="A602" t="s">
        <v>72</v>
      </c>
      <c r="B602" t="s">
        <v>9353</v>
      </c>
      <c r="C602" t="s">
        <v>74</v>
      </c>
      <c r="D602" t="s">
        <v>74</v>
      </c>
      <c r="E602" t="s">
        <v>74</v>
      </c>
      <c r="F602" t="s">
        <v>9353</v>
      </c>
      <c r="G602" t="s">
        <v>74</v>
      </c>
      <c r="H602" t="s">
        <v>74</v>
      </c>
      <c r="I602" t="s">
        <v>9354</v>
      </c>
      <c r="J602" t="s">
        <v>4036</v>
      </c>
      <c r="K602" t="s">
        <v>74</v>
      </c>
      <c r="L602" t="s">
        <v>74</v>
      </c>
      <c r="M602" t="s">
        <v>78</v>
      </c>
      <c r="N602" t="s">
        <v>3727</v>
      </c>
      <c r="O602" t="s">
        <v>74</v>
      </c>
      <c r="P602" t="s">
        <v>74</v>
      </c>
      <c r="Q602" t="s">
        <v>74</v>
      </c>
      <c r="R602" t="s">
        <v>74</v>
      </c>
      <c r="S602" t="s">
        <v>74</v>
      </c>
      <c r="T602" t="s">
        <v>74</v>
      </c>
      <c r="U602" t="s">
        <v>74</v>
      </c>
      <c r="V602" t="s">
        <v>74</v>
      </c>
      <c r="W602" t="s">
        <v>2334</v>
      </c>
      <c r="X602" t="s">
        <v>407</v>
      </c>
      <c r="Y602" t="s">
        <v>9355</v>
      </c>
      <c r="Z602" t="s">
        <v>74</v>
      </c>
      <c r="AA602" t="s">
        <v>74</v>
      </c>
      <c r="AB602" t="s">
        <v>74</v>
      </c>
      <c r="AC602" t="s">
        <v>74</v>
      </c>
      <c r="AD602" t="s">
        <v>74</v>
      </c>
      <c r="AE602" t="s">
        <v>74</v>
      </c>
      <c r="AF602" t="s">
        <v>74</v>
      </c>
      <c r="AG602">
        <v>1</v>
      </c>
      <c r="AH602">
        <v>0</v>
      </c>
      <c r="AI602">
        <v>0</v>
      </c>
      <c r="AJ602">
        <v>0</v>
      </c>
      <c r="AK602">
        <v>1</v>
      </c>
      <c r="AL602" t="s">
        <v>556</v>
      </c>
      <c r="AM602" t="s">
        <v>557</v>
      </c>
      <c r="AN602" t="s">
        <v>558</v>
      </c>
      <c r="AO602" t="s">
        <v>4045</v>
      </c>
      <c r="AP602" t="s">
        <v>74</v>
      </c>
      <c r="AQ602" t="s">
        <v>74</v>
      </c>
      <c r="AR602" t="s">
        <v>4036</v>
      </c>
      <c r="AS602" t="s">
        <v>4046</v>
      </c>
      <c r="AT602" t="s">
        <v>9348</v>
      </c>
      <c r="AU602">
        <v>2006</v>
      </c>
      <c r="AV602">
        <v>440</v>
      </c>
      <c r="AW602">
        <v>7082</v>
      </c>
      <c r="AX602" t="s">
        <v>74</v>
      </c>
      <c r="AY602" t="s">
        <v>74</v>
      </c>
      <c r="AZ602" t="s">
        <v>74</v>
      </c>
      <c r="BA602" t="s">
        <v>74</v>
      </c>
      <c r="BB602">
        <v>281</v>
      </c>
      <c r="BC602">
        <v>281</v>
      </c>
      <c r="BD602" t="s">
        <v>74</v>
      </c>
      <c r="BE602" t="s">
        <v>9356</v>
      </c>
      <c r="BF602" t="str">
        <f>HYPERLINK("http://dx.doi.org/10.1038/440281a","http://dx.doi.org/10.1038/440281a")</f>
        <v>http://dx.doi.org/10.1038/440281a</v>
      </c>
      <c r="BG602" t="s">
        <v>74</v>
      </c>
      <c r="BH602" t="s">
        <v>74</v>
      </c>
      <c r="BI602">
        <v>1</v>
      </c>
      <c r="BJ602" t="s">
        <v>1841</v>
      </c>
      <c r="BK602" t="s">
        <v>97</v>
      </c>
      <c r="BL602" t="s">
        <v>1842</v>
      </c>
      <c r="BM602" t="s">
        <v>9357</v>
      </c>
      <c r="BN602" t="s">
        <v>74</v>
      </c>
      <c r="BO602" t="s">
        <v>460</v>
      </c>
      <c r="BP602" t="s">
        <v>74</v>
      </c>
      <c r="BQ602" t="s">
        <v>74</v>
      </c>
      <c r="BR602" t="s">
        <v>100</v>
      </c>
      <c r="BS602" t="s">
        <v>9358</v>
      </c>
      <c r="BT602" t="str">
        <f>HYPERLINK("https%3A%2F%2Fwww.webofscience.com%2Fwos%2Fwoscc%2Ffull-record%2FWOS:000235997600031","View Full Record in Web of Science")</f>
        <v>View Full Record in Web of Science</v>
      </c>
    </row>
    <row r="603" spans="1:72" x14ac:dyDescent="0.15">
      <c r="A603" t="s">
        <v>72</v>
      </c>
      <c r="B603" t="s">
        <v>9359</v>
      </c>
      <c r="C603" t="s">
        <v>74</v>
      </c>
      <c r="D603" t="s">
        <v>74</v>
      </c>
      <c r="E603" t="s">
        <v>74</v>
      </c>
      <c r="F603" t="s">
        <v>9359</v>
      </c>
      <c r="G603" t="s">
        <v>74</v>
      </c>
      <c r="H603" t="s">
        <v>74</v>
      </c>
      <c r="I603" t="s">
        <v>9360</v>
      </c>
      <c r="J603" t="s">
        <v>1943</v>
      </c>
      <c r="K603" t="s">
        <v>74</v>
      </c>
      <c r="L603" t="s">
        <v>74</v>
      </c>
      <c r="M603" t="s">
        <v>78</v>
      </c>
      <c r="N603" t="s">
        <v>79</v>
      </c>
      <c r="O603" t="s">
        <v>74</v>
      </c>
      <c r="P603" t="s">
        <v>74</v>
      </c>
      <c r="Q603" t="s">
        <v>74</v>
      </c>
      <c r="R603" t="s">
        <v>74</v>
      </c>
      <c r="S603" t="s">
        <v>74</v>
      </c>
      <c r="T603" t="s">
        <v>74</v>
      </c>
      <c r="U603" t="s">
        <v>9361</v>
      </c>
      <c r="V603" t="s">
        <v>9362</v>
      </c>
      <c r="W603" t="s">
        <v>9363</v>
      </c>
      <c r="X603" t="s">
        <v>7992</v>
      </c>
      <c r="Y603" t="s">
        <v>9364</v>
      </c>
      <c r="Z603" t="s">
        <v>9365</v>
      </c>
      <c r="AA603" t="s">
        <v>3329</v>
      </c>
      <c r="AB603" t="s">
        <v>9366</v>
      </c>
      <c r="AC603" t="s">
        <v>74</v>
      </c>
      <c r="AD603" t="s">
        <v>74</v>
      </c>
      <c r="AE603" t="s">
        <v>74</v>
      </c>
      <c r="AF603" t="s">
        <v>74</v>
      </c>
      <c r="AG603">
        <v>72</v>
      </c>
      <c r="AH603">
        <v>109</v>
      </c>
      <c r="AI603">
        <v>121</v>
      </c>
      <c r="AJ603">
        <v>0</v>
      </c>
      <c r="AK603">
        <v>15</v>
      </c>
      <c r="AL603" t="s">
        <v>1757</v>
      </c>
      <c r="AM603" t="s">
        <v>88</v>
      </c>
      <c r="AN603" t="s">
        <v>1758</v>
      </c>
      <c r="AO603" t="s">
        <v>1950</v>
      </c>
      <c r="AP603" t="s">
        <v>1951</v>
      </c>
      <c r="AQ603" t="s">
        <v>74</v>
      </c>
      <c r="AR603" t="s">
        <v>1943</v>
      </c>
      <c r="AS603" t="s">
        <v>1952</v>
      </c>
      <c r="AT603" t="s">
        <v>9348</v>
      </c>
      <c r="AU603">
        <v>2006</v>
      </c>
      <c r="AV603">
        <v>21</v>
      </c>
      <c r="AW603">
        <v>1</v>
      </c>
      <c r="AX603" t="s">
        <v>74</v>
      </c>
      <c r="AY603" t="s">
        <v>74</v>
      </c>
      <c r="AZ603" t="s">
        <v>74</v>
      </c>
      <c r="BA603" t="s">
        <v>74</v>
      </c>
      <c r="BB603" t="s">
        <v>74</v>
      </c>
      <c r="BC603" t="s">
        <v>74</v>
      </c>
      <c r="BD603" t="s">
        <v>9367</v>
      </c>
      <c r="BE603" t="s">
        <v>9368</v>
      </c>
      <c r="BF603" t="str">
        <f>HYPERLINK("http://dx.doi.org/10.1029/2005PA001199","http://dx.doi.org/10.1029/2005PA001199")</f>
        <v>http://dx.doi.org/10.1029/2005PA001199</v>
      </c>
      <c r="BG603" t="s">
        <v>74</v>
      </c>
      <c r="BH603" t="s">
        <v>74</v>
      </c>
      <c r="BI603">
        <v>9</v>
      </c>
      <c r="BJ603" t="s">
        <v>1955</v>
      </c>
      <c r="BK603" t="s">
        <v>97</v>
      </c>
      <c r="BL603" t="s">
        <v>1956</v>
      </c>
      <c r="BM603" t="s">
        <v>9369</v>
      </c>
      <c r="BN603" t="s">
        <v>74</v>
      </c>
      <c r="BO603" t="s">
        <v>74</v>
      </c>
      <c r="BP603" t="s">
        <v>74</v>
      </c>
      <c r="BQ603" t="s">
        <v>74</v>
      </c>
      <c r="BR603" t="s">
        <v>100</v>
      </c>
      <c r="BS603" t="s">
        <v>9370</v>
      </c>
      <c r="BT603" t="str">
        <f>HYPERLINK("https%3A%2F%2Fwww.webofscience.com%2Fwos%2Fwoscc%2Ffull-record%2FWOS:000236335400001","View Full Record in Web of Science")</f>
        <v>View Full Record in Web of Science</v>
      </c>
    </row>
    <row r="604" spans="1:72" x14ac:dyDescent="0.15">
      <c r="A604" t="s">
        <v>72</v>
      </c>
      <c r="B604" t="s">
        <v>9371</v>
      </c>
      <c r="C604" t="s">
        <v>74</v>
      </c>
      <c r="D604" t="s">
        <v>74</v>
      </c>
      <c r="E604" t="s">
        <v>74</v>
      </c>
      <c r="F604" t="s">
        <v>9371</v>
      </c>
      <c r="G604" t="s">
        <v>74</v>
      </c>
      <c r="H604" t="s">
        <v>74</v>
      </c>
      <c r="I604" t="s">
        <v>9372</v>
      </c>
      <c r="J604" t="s">
        <v>9373</v>
      </c>
      <c r="K604" t="s">
        <v>74</v>
      </c>
      <c r="L604" t="s">
        <v>74</v>
      </c>
      <c r="M604" t="s">
        <v>78</v>
      </c>
      <c r="N604" t="s">
        <v>79</v>
      </c>
      <c r="O604" t="s">
        <v>74</v>
      </c>
      <c r="P604" t="s">
        <v>74</v>
      </c>
      <c r="Q604" t="s">
        <v>74</v>
      </c>
      <c r="R604" t="s">
        <v>74</v>
      </c>
      <c r="S604" t="s">
        <v>74</v>
      </c>
      <c r="T604" t="s">
        <v>74</v>
      </c>
      <c r="U604" t="s">
        <v>9374</v>
      </c>
      <c r="V604" t="s">
        <v>9375</v>
      </c>
      <c r="W604" t="s">
        <v>9376</v>
      </c>
      <c r="X604" t="s">
        <v>9377</v>
      </c>
      <c r="Y604" t="s">
        <v>9378</v>
      </c>
      <c r="Z604" t="s">
        <v>9379</v>
      </c>
      <c r="AA604" t="s">
        <v>9380</v>
      </c>
      <c r="AB604" t="s">
        <v>9381</v>
      </c>
      <c r="AC604" t="s">
        <v>74</v>
      </c>
      <c r="AD604" t="s">
        <v>74</v>
      </c>
      <c r="AE604" t="s">
        <v>74</v>
      </c>
      <c r="AF604" t="s">
        <v>74</v>
      </c>
      <c r="AG604">
        <v>25</v>
      </c>
      <c r="AH604">
        <v>49</v>
      </c>
      <c r="AI604">
        <v>57</v>
      </c>
      <c r="AJ604">
        <v>1</v>
      </c>
      <c r="AK604">
        <v>25</v>
      </c>
      <c r="AL604" t="s">
        <v>6146</v>
      </c>
      <c r="AM604" t="s">
        <v>88</v>
      </c>
      <c r="AN604" t="s">
        <v>6147</v>
      </c>
      <c r="AO604" t="s">
        <v>9382</v>
      </c>
      <c r="AP604" t="s">
        <v>9383</v>
      </c>
      <c r="AQ604" t="s">
        <v>74</v>
      </c>
      <c r="AR604" t="s">
        <v>9384</v>
      </c>
      <c r="AS604" t="s">
        <v>9385</v>
      </c>
      <c r="AT604" t="s">
        <v>9386</v>
      </c>
      <c r="AU604">
        <v>2006</v>
      </c>
      <c r="AV604">
        <v>78</v>
      </c>
      <c r="AW604">
        <v>6</v>
      </c>
      <c r="AX604" t="s">
        <v>74</v>
      </c>
      <c r="AY604" t="s">
        <v>74</v>
      </c>
      <c r="AZ604" t="s">
        <v>74</v>
      </c>
      <c r="BA604" t="s">
        <v>74</v>
      </c>
      <c r="BB604">
        <v>1883</v>
      </c>
      <c r="BC604">
        <v>1889</v>
      </c>
      <c r="BD604" t="s">
        <v>74</v>
      </c>
      <c r="BE604" t="s">
        <v>9387</v>
      </c>
      <c r="BF604" t="str">
        <f>HYPERLINK("http://dx.doi.org/10.1021/ac0518957","http://dx.doi.org/10.1021/ac0518957")</f>
        <v>http://dx.doi.org/10.1021/ac0518957</v>
      </c>
      <c r="BG604" t="s">
        <v>74</v>
      </c>
      <c r="BH604" t="s">
        <v>74</v>
      </c>
      <c r="BI604">
        <v>7</v>
      </c>
      <c r="BJ604" t="s">
        <v>9388</v>
      </c>
      <c r="BK604" t="s">
        <v>97</v>
      </c>
      <c r="BL604" t="s">
        <v>6352</v>
      </c>
      <c r="BM604" t="s">
        <v>9389</v>
      </c>
      <c r="BN604">
        <v>16536424</v>
      </c>
      <c r="BO604" t="s">
        <v>74</v>
      </c>
      <c r="BP604" t="s">
        <v>74</v>
      </c>
      <c r="BQ604" t="s">
        <v>74</v>
      </c>
      <c r="BR604" t="s">
        <v>100</v>
      </c>
      <c r="BS604" t="s">
        <v>9390</v>
      </c>
      <c r="BT604" t="str">
        <f>HYPERLINK("https%3A%2F%2Fwww.webofscience.com%2Fwos%2Fwoscc%2Ffull-record%2FWOS:000236307700021","View Full Record in Web of Science")</f>
        <v>View Full Record in Web of Science</v>
      </c>
    </row>
    <row r="605" spans="1:72" x14ac:dyDescent="0.15">
      <c r="A605" t="s">
        <v>72</v>
      </c>
      <c r="B605" t="s">
        <v>9391</v>
      </c>
      <c r="C605" t="s">
        <v>74</v>
      </c>
      <c r="D605" t="s">
        <v>74</v>
      </c>
      <c r="E605" t="s">
        <v>74</v>
      </c>
      <c r="F605" t="s">
        <v>9391</v>
      </c>
      <c r="G605" t="s">
        <v>74</v>
      </c>
      <c r="H605" t="s">
        <v>74</v>
      </c>
      <c r="I605" t="s">
        <v>9392</v>
      </c>
      <c r="J605" t="s">
        <v>3745</v>
      </c>
      <c r="K605" t="s">
        <v>74</v>
      </c>
      <c r="L605" t="s">
        <v>74</v>
      </c>
      <c r="M605" t="s">
        <v>78</v>
      </c>
      <c r="N605" t="s">
        <v>79</v>
      </c>
      <c r="O605" t="s">
        <v>74</v>
      </c>
      <c r="P605" t="s">
        <v>74</v>
      </c>
      <c r="Q605" t="s">
        <v>74</v>
      </c>
      <c r="R605" t="s">
        <v>74</v>
      </c>
      <c r="S605" t="s">
        <v>74</v>
      </c>
      <c r="T605" t="s">
        <v>9393</v>
      </c>
      <c r="U605" t="s">
        <v>9394</v>
      </c>
      <c r="V605" t="s">
        <v>9395</v>
      </c>
      <c r="W605" t="s">
        <v>9396</v>
      </c>
      <c r="X605" t="s">
        <v>9397</v>
      </c>
      <c r="Y605" t="s">
        <v>9398</v>
      </c>
      <c r="Z605" t="s">
        <v>9399</v>
      </c>
      <c r="AA605" t="s">
        <v>9400</v>
      </c>
      <c r="AB605" t="s">
        <v>9401</v>
      </c>
      <c r="AC605" t="s">
        <v>74</v>
      </c>
      <c r="AD605" t="s">
        <v>74</v>
      </c>
      <c r="AE605" t="s">
        <v>74</v>
      </c>
      <c r="AF605" t="s">
        <v>74</v>
      </c>
      <c r="AG605">
        <v>47</v>
      </c>
      <c r="AH605">
        <v>53</v>
      </c>
      <c r="AI605">
        <v>62</v>
      </c>
      <c r="AJ605">
        <v>0</v>
      </c>
      <c r="AK605">
        <v>28</v>
      </c>
      <c r="AL605" t="s">
        <v>1261</v>
      </c>
      <c r="AM605" t="s">
        <v>520</v>
      </c>
      <c r="AN605" t="s">
        <v>1262</v>
      </c>
      <c r="AO605" t="s">
        <v>3753</v>
      </c>
      <c r="AP605" t="s">
        <v>74</v>
      </c>
      <c r="AQ605" t="s">
        <v>74</v>
      </c>
      <c r="AR605" t="s">
        <v>3755</v>
      </c>
      <c r="AS605" t="s">
        <v>3756</v>
      </c>
      <c r="AT605" t="s">
        <v>9386</v>
      </c>
      <c r="AU605">
        <v>2006</v>
      </c>
      <c r="AV605">
        <v>243</v>
      </c>
      <c r="AW605" t="s">
        <v>765</v>
      </c>
      <c r="AX605" t="s">
        <v>74</v>
      </c>
      <c r="AY605" t="s">
        <v>74</v>
      </c>
      <c r="AZ605" t="s">
        <v>74</v>
      </c>
      <c r="BA605" t="s">
        <v>74</v>
      </c>
      <c r="BB605">
        <v>61</v>
      </c>
      <c r="BC605">
        <v>73</v>
      </c>
      <c r="BD605" t="s">
        <v>74</v>
      </c>
      <c r="BE605" t="s">
        <v>9402</v>
      </c>
      <c r="BF605" t="str">
        <f>HYPERLINK("http://dx.doi.org/10.1016/j.epsl.2005.12.036","http://dx.doi.org/10.1016/j.epsl.2005.12.036")</f>
        <v>http://dx.doi.org/10.1016/j.epsl.2005.12.036</v>
      </c>
      <c r="BG605" t="s">
        <v>74</v>
      </c>
      <c r="BH605" t="s">
        <v>74</v>
      </c>
      <c r="BI605">
        <v>13</v>
      </c>
      <c r="BJ605" t="s">
        <v>608</v>
      </c>
      <c r="BK605" t="s">
        <v>97</v>
      </c>
      <c r="BL605" t="s">
        <v>608</v>
      </c>
      <c r="BM605" t="s">
        <v>9403</v>
      </c>
      <c r="BN605" t="s">
        <v>74</v>
      </c>
      <c r="BO605" t="s">
        <v>74</v>
      </c>
      <c r="BP605" t="s">
        <v>74</v>
      </c>
      <c r="BQ605" t="s">
        <v>74</v>
      </c>
      <c r="BR605" t="s">
        <v>100</v>
      </c>
      <c r="BS605" t="s">
        <v>9404</v>
      </c>
      <c r="BT605" t="str">
        <f>HYPERLINK("https%3A%2F%2Fwww.webofscience.com%2Fwos%2Fwoscc%2Ffull-record%2FWOS:000236214500006","View Full Record in Web of Science")</f>
        <v>View Full Record in Web of Science</v>
      </c>
    </row>
    <row r="606" spans="1:72" x14ac:dyDescent="0.15">
      <c r="A606" t="s">
        <v>72</v>
      </c>
      <c r="B606" t="s">
        <v>9405</v>
      </c>
      <c r="C606" t="s">
        <v>74</v>
      </c>
      <c r="D606" t="s">
        <v>74</v>
      </c>
      <c r="E606" t="s">
        <v>74</v>
      </c>
      <c r="F606" t="s">
        <v>9405</v>
      </c>
      <c r="G606" t="s">
        <v>74</v>
      </c>
      <c r="H606" t="s">
        <v>74</v>
      </c>
      <c r="I606" t="s">
        <v>9406</v>
      </c>
      <c r="J606" t="s">
        <v>3745</v>
      </c>
      <c r="K606" t="s">
        <v>74</v>
      </c>
      <c r="L606" t="s">
        <v>74</v>
      </c>
      <c r="M606" t="s">
        <v>78</v>
      </c>
      <c r="N606" t="s">
        <v>79</v>
      </c>
      <c r="O606" t="s">
        <v>74</v>
      </c>
      <c r="P606" t="s">
        <v>74</v>
      </c>
      <c r="Q606" t="s">
        <v>74</v>
      </c>
      <c r="R606" t="s">
        <v>74</v>
      </c>
      <c r="S606" t="s">
        <v>74</v>
      </c>
      <c r="T606" t="s">
        <v>9407</v>
      </c>
      <c r="U606" t="s">
        <v>9408</v>
      </c>
      <c r="V606" t="s">
        <v>9409</v>
      </c>
      <c r="W606" t="s">
        <v>9410</v>
      </c>
      <c r="X606" t="s">
        <v>9411</v>
      </c>
      <c r="Y606" t="s">
        <v>9412</v>
      </c>
      <c r="Z606" t="s">
        <v>9413</v>
      </c>
      <c r="AA606" t="s">
        <v>9414</v>
      </c>
      <c r="AB606" t="s">
        <v>9415</v>
      </c>
      <c r="AC606" t="s">
        <v>74</v>
      </c>
      <c r="AD606" t="s">
        <v>74</v>
      </c>
      <c r="AE606" t="s">
        <v>74</v>
      </c>
      <c r="AF606" t="s">
        <v>74</v>
      </c>
      <c r="AG606">
        <v>61</v>
      </c>
      <c r="AH606">
        <v>46</v>
      </c>
      <c r="AI606">
        <v>51</v>
      </c>
      <c r="AJ606">
        <v>0</v>
      </c>
      <c r="AK606">
        <v>6</v>
      </c>
      <c r="AL606" t="s">
        <v>1261</v>
      </c>
      <c r="AM606" t="s">
        <v>520</v>
      </c>
      <c r="AN606" t="s">
        <v>1262</v>
      </c>
      <c r="AO606" t="s">
        <v>3753</v>
      </c>
      <c r="AP606" t="s">
        <v>3754</v>
      </c>
      <c r="AQ606" t="s">
        <v>74</v>
      </c>
      <c r="AR606" t="s">
        <v>3755</v>
      </c>
      <c r="AS606" t="s">
        <v>3756</v>
      </c>
      <c r="AT606" t="s">
        <v>9386</v>
      </c>
      <c r="AU606">
        <v>2006</v>
      </c>
      <c r="AV606">
        <v>243</v>
      </c>
      <c r="AW606" t="s">
        <v>765</v>
      </c>
      <c r="AX606" t="s">
        <v>74</v>
      </c>
      <c r="AY606" t="s">
        <v>74</v>
      </c>
      <c r="AZ606" t="s">
        <v>74</v>
      </c>
      <c r="BA606" t="s">
        <v>74</v>
      </c>
      <c r="BB606">
        <v>229</v>
      </c>
      <c r="BC606">
        <v>243</v>
      </c>
      <c r="BD606" t="s">
        <v>74</v>
      </c>
      <c r="BE606" t="s">
        <v>9416</v>
      </c>
      <c r="BF606" t="str">
        <f>HYPERLINK("http://dx.doi.org/10.1016/j.epsl.2005.12.006","http://dx.doi.org/10.1016/j.epsl.2005.12.006")</f>
        <v>http://dx.doi.org/10.1016/j.epsl.2005.12.006</v>
      </c>
      <c r="BG606" t="s">
        <v>74</v>
      </c>
      <c r="BH606" t="s">
        <v>74</v>
      </c>
      <c r="BI606">
        <v>15</v>
      </c>
      <c r="BJ606" t="s">
        <v>608</v>
      </c>
      <c r="BK606" t="s">
        <v>97</v>
      </c>
      <c r="BL606" t="s">
        <v>608</v>
      </c>
      <c r="BM606" t="s">
        <v>9403</v>
      </c>
      <c r="BN606" t="s">
        <v>74</v>
      </c>
      <c r="BO606" t="s">
        <v>74</v>
      </c>
      <c r="BP606" t="s">
        <v>74</v>
      </c>
      <c r="BQ606" t="s">
        <v>74</v>
      </c>
      <c r="BR606" t="s">
        <v>100</v>
      </c>
      <c r="BS606" t="s">
        <v>9417</v>
      </c>
      <c r="BT606" t="str">
        <f>HYPERLINK("https%3A%2F%2Fwww.webofscience.com%2Fwos%2Fwoscc%2Ffull-record%2FWOS:000236214500020","View Full Record in Web of Science")</f>
        <v>View Full Record in Web of Science</v>
      </c>
    </row>
    <row r="607" spans="1:72" x14ac:dyDescent="0.15">
      <c r="A607" t="s">
        <v>72</v>
      </c>
      <c r="B607" t="s">
        <v>9418</v>
      </c>
      <c r="C607" t="s">
        <v>74</v>
      </c>
      <c r="D607" t="s">
        <v>74</v>
      </c>
      <c r="E607" t="s">
        <v>74</v>
      </c>
      <c r="F607" t="s">
        <v>9418</v>
      </c>
      <c r="G607" t="s">
        <v>74</v>
      </c>
      <c r="H607" t="s">
        <v>74</v>
      </c>
      <c r="I607" t="s">
        <v>9419</v>
      </c>
      <c r="J607" t="s">
        <v>6137</v>
      </c>
      <c r="K607" t="s">
        <v>74</v>
      </c>
      <c r="L607" t="s">
        <v>74</v>
      </c>
      <c r="M607" t="s">
        <v>78</v>
      </c>
      <c r="N607" t="s">
        <v>79</v>
      </c>
      <c r="O607" t="s">
        <v>74</v>
      </c>
      <c r="P607" t="s">
        <v>74</v>
      </c>
      <c r="Q607" t="s">
        <v>74</v>
      </c>
      <c r="R607" t="s">
        <v>74</v>
      </c>
      <c r="S607" t="s">
        <v>74</v>
      </c>
      <c r="T607" t="s">
        <v>74</v>
      </c>
      <c r="U607" t="s">
        <v>9420</v>
      </c>
      <c r="V607" t="s">
        <v>9421</v>
      </c>
      <c r="W607" t="s">
        <v>9422</v>
      </c>
      <c r="X607" t="s">
        <v>9423</v>
      </c>
      <c r="Y607" t="s">
        <v>9424</v>
      </c>
      <c r="Z607" t="s">
        <v>9425</v>
      </c>
      <c r="AA607" t="s">
        <v>9426</v>
      </c>
      <c r="AB607" t="s">
        <v>9427</v>
      </c>
      <c r="AC607" t="s">
        <v>74</v>
      </c>
      <c r="AD607" t="s">
        <v>74</v>
      </c>
      <c r="AE607" t="s">
        <v>74</v>
      </c>
      <c r="AF607" t="s">
        <v>74</v>
      </c>
      <c r="AG607">
        <v>50</v>
      </c>
      <c r="AH607">
        <v>49</v>
      </c>
      <c r="AI607">
        <v>54</v>
      </c>
      <c r="AJ607">
        <v>4</v>
      </c>
      <c r="AK607">
        <v>35</v>
      </c>
      <c r="AL607" t="s">
        <v>6146</v>
      </c>
      <c r="AM607" t="s">
        <v>88</v>
      </c>
      <c r="AN607" t="s">
        <v>6147</v>
      </c>
      <c r="AO607" t="s">
        <v>6148</v>
      </c>
      <c r="AP607" t="s">
        <v>7809</v>
      </c>
      <c r="AQ607" t="s">
        <v>74</v>
      </c>
      <c r="AR607" t="s">
        <v>6149</v>
      </c>
      <c r="AS607" t="s">
        <v>6150</v>
      </c>
      <c r="AT607" t="s">
        <v>9386</v>
      </c>
      <c r="AU607">
        <v>2006</v>
      </c>
      <c r="AV607">
        <v>40</v>
      </c>
      <c r="AW607">
        <v>6</v>
      </c>
      <c r="AX607" t="s">
        <v>74</v>
      </c>
      <c r="AY607" t="s">
        <v>74</v>
      </c>
      <c r="AZ607" t="s">
        <v>74</v>
      </c>
      <c r="BA607" t="s">
        <v>74</v>
      </c>
      <c r="BB607">
        <v>2011</v>
      </c>
      <c r="BC607">
        <v>2017</v>
      </c>
      <c r="BD607" t="s">
        <v>74</v>
      </c>
      <c r="BE607" t="s">
        <v>9428</v>
      </c>
      <c r="BF607" t="str">
        <f>HYPERLINK("http://dx.doi.org/10.1021/es051818t","http://dx.doi.org/10.1021/es051818t")</f>
        <v>http://dx.doi.org/10.1021/es051818t</v>
      </c>
      <c r="BG607" t="s">
        <v>74</v>
      </c>
      <c r="BH607" t="s">
        <v>74</v>
      </c>
      <c r="BI607">
        <v>7</v>
      </c>
      <c r="BJ607" t="s">
        <v>6152</v>
      </c>
      <c r="BK607" t="s">
        <v>97</v>
      </c>
      <c r="BL607" t="s">
        <v>6153</v>
      </c>
      <c r="BM607" t="s">
        <v>9429</v>
      </c>
      <c r="BN607">
        <v>16570629</v>
      </c>
      <c r="BO607" t="s">
        <v>74</v>
      </c>
      <c r="BP607" t="s">
        <v>74</v>
      </c>
      <c r="BQ607" t="s">
        <v>74</v>
      </c>
      <c r="BR607" t="s">
        <v>100</v>
      </c>
      <c r="BS607" t="s">
        <v>9430</v>
      </c>
      <c r="BT607" t="str">
        <f>HYPERLINK("https%3A%2F%2Fwww.webofscience.com%2Fwos%2Fwoscc%2Ffull-record%2FWOS:000236213900043","View Full Record in Web of Science")</f>
        <v>View Full Record in Web of Science</v>
      </c>
    </row>
    <row r="608" spans="1:72" x14ac:dyDescent="0.15">
      <c r="A608" t="s">
        <v>72</v>
      </c>
      <c r="B608" t="s">
        <v>9431</v>
      </c>
      <c r="C608" t="s">
        <v>74</v>
      </c>
      <c r="D608" t="s">
        <v>74</v>
      </c>
      <c r="E608" t="s">
        <v>74</v>
      </c>
      <c r="F608" t="s">
        <v>9431</v>
      </c>
      <c r="G608" t="s">
        <v>74</v>
      </c>
      <c r="H608" t="s">
        <v>74</v>
      </c>
      <c r="I608" t="s">
        <v>9432</v>
      </c>
      <c r="J608" t="s">
        <v>9433</v>
      </c>
      <c r="K608" t="s">
        <v>74</v>
      </c>
      <c r="L608" t="s">
        <v>74</v>
      </c>
      <c r="M608" t="s">
        <v>78</v>
      </c>
      <c r="N608" t="s">
        <v>1226</v>
      </c>
      <c r="O608" t="s">
        <v>9434</v>
      </c>
      <c r="P608" t="s">
        <v>9435</v>
      </c>
      <c r="Q608" t="s">
        <v>9436</v>
      </c>
      <c r="R608" t="s">
        <v>74</v>
      </c>
      <c r="S608" t="s">
        <v>74</v>
      </c>
      <c r="T608" t="s">
        <v>9437</v>
      </c>
      <c r="U608" t="s">
        <v>74</v>
      </c>
      <c r="V608" t="s">
        <v>9438</v>
      </c>
      <c r="W608" t="s">
        <v>9439</v>
      </c>
      <c r="X608" t="s">
        <v>9440</v>
      </c>
      <c r="Y608" t="s">
        <v>9441</v>
      </c>
      <c r="Z608" t="s">
        <v>9442</v>
      </c>
      <c r="AA608" t="s">
        <v>74</v>
      </c>
      <c r="AB608" t="s">
        <v>9443</v>
      </c>
      <c r="AC608" t="s">
        <v>74</v>
      </c>
      <c r="AD608" t="s">
        <v>74</v>
      </c>
      <c r="AE608" t="s">
        <v>74</v>
      </c>
      <c r="AF608" t="s">
        <v>74</v>
      </c>
      <c r="AG608">
        <v>23</v>
      </c>
      <c r="AH608">
        <v>11</v>
      </c>
      <c r="AI608">
        <v>12</v>
      </c>
      <c r="AJ608">
        <v>1</v>
      </c>
      <c r="AK608">
        <v>9</v>
      </c>
      <c r="AL608" t="s">
        <v>115</v>
      </c>
      <c r="AM608" t="s">
        <v>116</v>
      </c>
      <c r="AN608" t="s">
        <v>117</v>
      </c>
      <c r="AO608" t="s">
        <v>9444</v>
      </c>
      <c r="AP608" t="s">
        <v>9445</v>
      </c>
      <c r="AQ608" t="s">
        <v>74</v>
      </c>
      <c r="AR608" t="s">
        <v>9446</v>
      </c>
      <c r="AS608" t="s">
        <v>9447</v>
      </c>
      <c r="AT608" t="s">
        <v>9386</v>
      </c>
      <c r="AU608">
        <v>2006</v>
      </c>
      <c r="AV608">
        <v>20</v>
      </c>
      <c r="AW608">
        <v>4</v>
      </c>
      <c r="AX608" t="s">
        <v>74</v>
      </c>
      <c r="AY608" t="s">
        <v>74</v>
      </c>
      <c r="AZ608" t="s">
        <v>74</v>
      </c>
      <c r="BA608" t="s">
        <v>74</v>
      </c>
      <c r="BB608">
        <v>629</v>
      </c>
      <c r="BC608">
        <v>644</v>
      </c>
      <c r="BD608" t="s">
        <v>74</v>
      </c>
      <c r="BE608" t="s">
        <v>9448</v>
      </c>
      <c r="BF608" t="str">
        <f>HYPERLINK("http://dx.doi.org/10.1002/hyp.6121","http://dx.doi.org/10.1002/hyp.6121")</f>
        <v>http://dx.doi.org/10.1002/hyp.6121</v>
      </c>
      <c r="BG608" t="s">
        <v>74</v>
      </c>
      <c r="BH608" t="s">
        <v>74</v>
      </c>
      <c r="BI608">
        <v>16</v>
      </c>
      <c r="BJ608" t="s">
        <v>9449</v>
      </c>
      <c r="BK608" t="s">
        <v>668</v>
      </c>
      <c r="BL608" t="s">
        <v>9449</v>
      </c>
      <c r="BM608" t="s">
        <v>9450</v>
      </c>
      <c r="BN608" t="s">
        <v>74</v>
      </c>
      <c r="BO608" t="s">
        <v>74</v>
      </c>
      <c r="BP608" t="s">
        <v>74</v>
      </c>
      <c r="BQ608" t="s">
        <v>74</v>
      </c>
      <c r="BR608" t="s">
        <v>100</v>
      </c>
      <c r="BS608" t="s">
        <v>9451</v>
      </c>
      <c r="BT608" t="str">
        <f>HYPERLINK("https%3A%2F%2Fwww.webofscience.com%2Fwos%2Fwoscc%2Ffull-record%2FWOS:000236332400002","View Full Record in Web of Science")</f>
        <v>View Full Record in Web of Science</v>
      </c>
    </row>
    <row r="609" spans="1:72" x14ac:dyDescent="0.15">
      <c r="A609" t="s">
        <v>72</v>
      </c>
      <c r="B609" t="s">
        <v>9452</v>
      </c>
      <c r="C609" t="s">
        <v>74</v>
      </c>
      <c r="D609" t="s">
        <v>74</v>
      </c>
      <c r="E609" t="s">
        <v>74</v>
      </c>
      <c r="F609" t="s">
        <v>9452</v>
      </c>
      <c r="G609" t="s">
        <v>74</v>
      </c>
      <c r="H609" t="s">
        <v>74</v>
      </c>
      <c r="I609" t="s">
        <v>9453</v>
      </c>
      <c r="J609" t="s">
        <v>852</v>
      </c>
      <c r="K609" t="s">
        <v>74</v>
      </c>
      <c r="L609" t="s">
        <v>74</v>
      </c>
      <c r="M609" t="s">
        <v>78</v>
      </c>
      <c r="N609" t="s">
        <v>79</v>
      </c>
      <c r="O609" t="s">
        <v>74</v>
      </c>
      <c r="P609" t="s">
        <v>74</v>
      </c>
      <c r="Q609" t="s">
        <v>74</v>
      </c>
      <c r="R609" t="s">
        <v>74</v>
      </c>
      <c r="S609" t="s">
        <v>74</v>
      </c>
      <c r="T609" t="s">
        <v>74</v>
      </c>
      <c r="U609" t="s">
        <v>9454</v>
      </c>
      <c r="V609" t="s">
        <v>9455</v>
      </c>
      <c r="W609" t="s">
        <v>9456</v>
      </c>
      <c r="X609" t="s">
        <v>2251</v>
      </c>
      <c r="Y609" t="s">
        <v>9457</v>
      </c>
      <c r="Z609" t="s">
        <v>9458</v>
      </c>
      <c r="AA609" t="s">
        <v>9459</v>
      </c>
      <c r="AB609" t="s">
        <v>9460</v>
      </c>
      <c r="AC609" t="s">
        <v>74</v>
      </c>
      <c r="AD609" t="s">
        <v>74</v>
      </c>
      <c r="AE609" t="s">
        <v>74</v>
      </c>
      <c r="AF609" t="s">
        <v>74</v>
      </c>
      <c r="AG609">
        <v>51</v>
      </c>
      <c r="AH609">
        <v>304</v>
      </c>
      <c r="AI609">
        <v>336</v>
      </c>
      <c r="AJ609">
        <v>2</v>
      </c>
      <c r="AK609">
        <v>57</v>
      </c>
      <c r="AL609" t="s">
        <v>861</v>
      </c>
      <c r="AM609" t="s">
        <v>862</v>
      </c>
      <c r="AN609" t="s">
        <v>863</v>
      </c>
      <c r="AO609" t="s">
        <v>864</v>
      </c>
      <c r="AP609" t="s">
        <v>74</v>
      </c>
      <c r="AQ609" t="s">
        <v>74</v>
      </c>
      <c r="AR609" t="s">
        <v>866</v>
      </c>
      <c r="AS609" t="s">
        <v>867</v>
      </c>
      <c r="AT609" t="s">
        <v>9386</v>
      </c>
      <c r="AU609">
        <v>2006</v>
      </c>
      <c r="AV609">
        <v>19</v>
      </c>
      <c r="AW609">
        <v>6</v>
      </c>
      <c r="AX609" t="s">
        <v>74</v>
      </c>
      <c r="AY609" t="s">
        <v>74</v>
      </c>
      <c r="AZ609" t="s">
        <v>74</v>
      </c>
      <c r="BA609" t="s">
        <v>74</v>
      </c>
      <c r="BB609">
        <v>979</v>
      </c>
      <c r="BC609">
        <v>997</v>
      </c>
      <c r="BD609" t="s">
        <v>74</v>
      </c>
      <c r="BE609" t="s">
        <v>9461</v>
      </c>
      <c r="BF609" t="str">
        <f>HYPERLINK("http://dx.doi.org/10.1175/JCLI3671.1","http://dx.doi.org/10.1175/JCLI3671.1")</f>
        <v>http://dx.doi.org/10.1175/JCLI3671.1</v>
      </c>
      <c r="BG609" t="s">
        <v>74</v>
      </c>
      <c r="BH609" t="s">
        <v>74</v>
      </c>
      <c r="BI609">
        <v>19</v>
      </c>
      <c r="BJ609" t="s">
        <v>869</v>
      </c>
      <c r="BK609" t="s">
        <v>97</v>
      </c>
      <c r="BL609" t="s">
        <v>869</v>
      </c>
      <c r="BM609" t="s">
        <v>9462</v>
      </c>
      <c r="BN609" t="s">
        <v>74</v>
      </c>
      <c r="BO609" t="s">
        <v>164</v>
      </c>
      <c r="BP609" t="s">
        <v>74</v>
      </c>
      <c r="BQ609" t="s">
        <v>74</v>
      </c>
      <c r="BR609" t="s">
        <v>100</v>
      </c>
      <c r="BS609" t="s">
        <v>9463</v>
      </c>
      <c r="BT609" t="str">
        <f>HYPERLINK("https%3A%2F%2Fwww.webofscience.com%2Fwos%2Fwoscc%2Ffull-record%2FWOS:000236765500006","View Full Record in Web of Science")</f>
        <v>View Full Record in Web of Science</v>
      </c>
    </row>
    <row r="610" spans="1:72" x14ac:dyDescent="0.15">
      <c r="A610" t="s">
        <v>72</v>
      </c>
      <c r="B610" t="s">
        <v>9464</v>
      </c>
      <c r="C610" t="s">
        <v>74</v>
      </c>
      <c r="D610" t="s">
        <v>74</v>
      </c>
      <c r="E610" t="s">
        <v>74</v>
      </c>
      <c r="F610" t="s">
        <v>9464</v>
      </c>
      <c r="G610" t="s">
        <v>74</v>
      </c>
      <c r="H610" t="s">
        <v>74</v>
      </c>
      <c r="I610" t="s">
        <v>9465</v>
      </c>
      <c r="J610" t="s">
        <v>1772</v>
      </c>
      <c r="K610" t="s">
        <v>74</v>
      </c>
      <c r="L610" t="s">
        <v>74</v>
      </c>
      <c r="M610" t="s">
        <v>78</v>
      </c>
      <c r="N610" t="s">
        <v>79</v>
      </c>
      <c r="O610" t="s">
        <v>74</v>
      </c>
      <c r="P610" t="s">
        <v>74</v>
      </c>
      <c r="Q610" t="s">
        <v>74</v>
      </c>
      <c r="R610" t="s">
        <v>74</v>
      </c>
      <c r="S610" t="s">
        <v>74</v>
      </c>
      <c r="T610" t="s">
        <v>74</v>
      </c>
      <c r="U610" t="s">
        <v>9466</v>
      </c>
      <c r="V610" t="s">
        <v>9467</v>
      </c>
      <c r="W610" t="s">
        <v>9468</v>
      </c>
      <c r="X610" t="s">
        <v>9469</v>
      </c>
      <c r="Y610" t="s">
        <v>9470</v>
      </c>
      <c r="Z610" t="s">
        <v>9471</v>
      </c>
      <c r="AA610" t="s">
        <v>9472</v>
      </c>
      <c r="AB610" t="s">
        <v>9473</v>
      </c>
      <c r="AC610" t="s">
        <v>74</v>
      </c>
      <c r="AD610" t="s">
        <v>74</v>
      </c>
      <c r="AE610" t="s">
        <v>74</v>
      </c>
      <c r="AF610" t="s">
        <v>74</v>
      </c>
      <c r="AG610">
        <v>34</v>
      </c>
      <c r="AH610">
        <v>42</v>
      </c>
      <c r="AI610">
        <v>44</v>
      </c>
      <c r="AJ610">
        <v>1</v>
      </c>
      <c r="AK610">
        <v>6</v>
      </c>
      <c r="AL610" t="s">
        <v>1757</v>
      </c>
      <c r="AM610" t="s">
        <v>88</v>
      </c>
      <c r="AN610" t="s">
        <v>1758</v>
      </c>
      <c r="AO610" t="s">
        <v>1779</v>
      </c>
      <c r="AP610" t="s">
        <v>1780</v>
      </c>
      <c r="AQ610" t="s">
        <v>74</v>
      </c>
      <c r="AR610" t="s">
        <v>1781</v>
      </c>
      <c r="AS610" t="s">
        <v>1782</v>
      </c>
      <c r="AT610" t="s">
        <v>9386</v>
      </c>
      <c r="AU610">
        <v>2006</v>
      </c>
      <c r="AV610">
        <v>111</v>
      </c>
      <c r="AW610" t="s">
        <v>9474</v>
      </c>
      <c r="AX610" t="s">
        <v>74</v>
      </c>
      <c r="AY610" t="s">
        <v>74</v>
      </c>
      <c r="AZ610" t="s">
        <v>74</v>
      </c>
      <c r="BA610" t="s">
        <v>74</v>
      </c>
      <c r="BB610" t="s">
        <v>74</v>
      </c>
      <c r="BC610" t="s">
        <v>74</v>
      </c>
      <c r="BD610" t="s">
        <v>9475</v>
      </c>
      <c r="BE610" t="s">
        <v>9476</v>
      </c>
      <c r="BF610" t="str">
        <f>HYPERLINK("http://dx.doi.org/10.1029/2005JD006589","http://dx.doi.org/10.1029/2005JD006589")</f>
        <v>http://dx.doi.org/10.1029/2005JD006589</v>
      </c>
      <c r="BG610" t="s">
        <v>74</v>
      </c>
      <c r="BH610" t="s">
        <v>74</v>
      </c>
      <c r="BI610">
        <v>13</v>
      </c>
      <c r="BJ610" t="s">
        <v>869</v>
      </c>
      <c r="BK610" t="s">
        <v>97</v>
      </c>
      <c r="BL610" t="s">
        <v>869</v>
      </c>
      <c r="BM610" t="s">
        <v>9477</v>
      </c>
      <c r="BN610" t="s">
        <v>74</v>
      </c>
      <c r="BO610" t="s">
        <v>74</v>
      </c>
      <c r="BP610" t="s">
        <v>74</v>
      </c>
      <c r="BQ610" t="s">
        <v>74</v>
      </c>
      <c r="BR610" t="s">
        <v>100</v>
      </c>
      <c r="BS610" t="s">
        <v>9478</v>
      </c>
      <c r="BT610" t="str">
        <f>HYPERLINK("https%3A%2F%2Fwww.webofscience.com%2Fwos%2Fwoscc%2Ffull-record%2FWOS:000236331800005","View Full Record in Web of Science")</f>
        <v>View Full Record in Web of Science</v>
      </c>
    </row>
    <row r="611" spans="1:72" x14ac:dyDescent="0.15">
      <c r="A611" t="s">
        <v>72</v>
      </c>
      <c r="B611" t="s">
        <v>9479</v>
      </c>
      <c r="C611" t="s">
        <v>74</v>
      </c>
      <c r="D611" t="s">
        <v>74</v>
      </c>
      <c r="E611" t="s">
        <v>74</v>
      </c>
      <c r="F611" t="s">
        <v>9479</v>
      </c>
      <c r="G611" t="s">
        <v>74</v>
      </c>
      <c r="H611" t="s">
        <v>74</v>
      </c>
      <c r="I611" t="s">
        <v>9480</v>
      </c>
      <c r="J611" t="s">
        <v>1748</v>
      </c>
      <c r="K611" t="s">
        <v>74</v>
      </c>
      <c r="L611" t="s">
        <v>74</v>
      </c>
      <c r="M611" t="s">
        <v>78</v>
      </c>
      <c r="N611" t="s">
        <v>79</v>
      </c>
      <c r="O611" t="s">
        <v>74</v>
      </c>
      <c r="P611" t="s">
        <v>74</v>
      </c>
      <c r="Q611" t="s">
        <v>74</v>
      </c>
      <c r="R611" t="s">
        <v>74</v>
      </c>
      <c r="S611" t="s">
        <v>74</v>
      </c>
      <c r="T611" t="s">
        <v>74</v>
      </c>
      <c r="U611" t="s">
        <v>9481</v>
      </c>
      <c r="V611" t="s">
        <v>9482</v>
      </c>
      <c r="W611" t="s">
        <v>2334</v>
      </c>
      <c r="X611" t="s">
        <v>407</v>
      </c>
      <c r="Y611" t="s">
        <v>7514</v>
      </c>
      <c r="Z611" t="s">
        <v>9483</v>
      </c>
      <c r="AA611" t="s">
        <v>9484</v>
      </c>
      <c r="AB611" t="s">
        <v>9485</v>
      </c>
      <c r="AC611" t="s">
        <v>9486</v>
      </c>
      <c r="AD611" t="s">
        <v>413</v>
      </c>
      <c r="AE611" t="s">
        <v>74</v>
      </c>
      <c r="AF611" t="s">
        <v>74</v>
      </c>
      <c r="AG611">
        <v>26</v>
      </c>
      <c r="AH611">
        <v>60</v>
      </c>
      <c r="AI611">
        <v>63</v>
      </c>
      <c r="AJ611">
        <v>0</v>
      </c>
      <c r="AK611">
        <v>7</v>
      </c>
      <c r="AL611" t="s">
        <v>1757</v>
      </c>
      <c r="AM611" t="s">
        <v>88</v>
      </c>
      <c r="AN611" t="s">
        <v>1758</v>
      </c>
      <c r="AO611" t="s">
        <v>1759</v>
      </c>
      <c r="AP611" t="s">
        <v>1760</v>
      </c>
      <c r="AQ611" t="s">
        <v>74</v>
      </c>
      <c r="AR611" t="s">
        <v>1761</v>
      </c>
      <c r="AS611" t="s">
        <v>1762</v>
      </c>
      <c r="AT611" t="s">
        <v>9487</v>
      </c>
      <c r="AU611">
        <v>2006</v>
      </c>
      <c r="AV611">
        <v>33</v>
      </c>
      <c r="AW611">
        <v>5</v>
      </c>
      <c r="AX611" t="s">
        <v>74</v>
      </c>
      <c r="AY611" t="s">
        <v>74</v>
      </c>
      <c r="AZ611" t="s">
        <v>74</v>
      </c>
      <c r="BA611" t="s">
        <v>74</v>
      </c>
      <c r="BB611" t="s">
        <v>74</v>
      </c>
      <c r="BC611" t="s">
        <v>74</v>
      </c>
      <c r="BD611" t="s">
        <v>9488</v>
      </c>
      <c r="BE611" t="s">
        <v>9489</v>
      </c>
      <c r="BF611" t="str">
        <f>HYPERLINK("http://dx.doi.org/10.1029/2005GL024636","http://dx.doi.org/10.1029/2005GL024636")</f>
        <v>http://dx.doi.org/10.1029/2005GL024636</v>
      </c>
      <c r="BG611" t="s">
        <v>74</v>
      </c>
      <c r="BH611" t="s">
        <v>74</v>
      </c>
      <c r="BI611">
        <v>4</v>
      </c>
      <c r="BJ611" t="s">
        <v>527</v>
      </c>
      <c r="BK611" t="s">
        <v>97</v>
      </c>
      <c r="BL611" t="s">
        <v>528</v>
      </c>
      <c r="BM611" t="s">
        <v>9490</v>
      </c>
      <c r="BN611" t="s">
        <v>74</v>
      </c>
      <c r="BO611" t="s">
        <v>460</v>
      </c>
      <c r="BP611" t="s">
        <v>74</v>
      </c>
      <c r="BQ611" t="s">
        <v>74</v>
      </c>
      <c r="BR611" t="s">
        <v>100</v>
      </c>
      <c r="BS611" t="s">
        <v>9491</v>
      </c>
      <c r="BT611" t="str">
        <f>HYPERLINK("https%3A%2F%2Fwww.webofscience.com%2Fwos%2Fwoscc%2Ffull-record%2FWOS:000236269800004","View Full Record in Web of Science")</f>
        <v>View Full Record in Web of Science</v>
      </c>
    </row>
    <row r="612" spans="1:72" x14ac:dyDescent="0.15">
      <c r="A612" t="s">
        <v>72</v>
      </c>
      <c r="B612" t="s">
        <v>9492</v>
      </c>
      <c r="C612" t="s">
        <v>74</v>
      </c>
      <c r="D612" t="s">
        <v>74</v>
      </c>
      <c r="E612" t="s">
        <v>74</v>
      </c>
      <c r="F612" t="s">
        <v>9492</v>
      </c>
      <c r="G612" t="s">
        <v>74</v>
      </c>
      <c r="H612" t="s">
        <v>74</v>
      </c>
      <c r="I612" t="s">
        <v>9493</v>
      </c>
      <c r="J612" t="s">
        <v>1748</v>
      </c>
      <c r="K612" t="s">
        <v>74</v>
      </c>
      <c r="L612" t="s">
        <v>74</v>
      </c>
      <c r="M612" t="s">
        <v>78</v>
      </c>
      <c r="N612" t="s">
        <v>79</v>
      </c>
      <c r="O612" t="s">
        <v>74</v>
      </c>
      <c r="P612" t="s">
        <v>74</v>
      </c>
      <c r="Q612" t="s">
        <v>74</v>
      </c>
      <c r="R612" t="s">
        <v>74</v>
      </c>
      <c r="S612" t="s">
        <v>74</v>
      </c>
      <c r="T612" t="s">
        <v>74</v>
      </c>
      <c r="U612" t="s">
        <v>9494</v>
      </c>
      <c r="V612" t="s">
        <v>9495</v>
      </c>
      <c r="W612" t="s">
        <v>9496</v>
      </c>
      <c r="X612" t="s">
        <v>9497</v>
      </c>
      <c r="Y612" t="s">
        <v>9498</v>
      </c>
      <c r="Z612" t="s">
        <v>9499</v>
      </c>
      <c r="AA612" t="s">
        <v>9500</v>
      </c>
      <c r="AB612" t="s">
        <v>9501</v>
      </c>
      <c r="AC612" t="s">
        <v>7621</v>
      </c>
      <c r="AD612" t="s">
        <v>413</v>
      </c>
      <c r="AE612" t="s">
        <v>74</v>
      </c>
      <c r="AF612" t="s">
        <v>74</v>
      </c>
      <c r="AG612">
        <v>29</v>
      </c>
      <c r="AH612">
        <v>152</v>
      </c>
      <c r="AI612">
        <v>161</v>
      </c>
      <c r="AJ612">
        <v>2</v>
      </c>
      <c r="AK612">
        <v>9</v>
      </c>
      <c r="AL612" t="s">
        <v>1757</v>
      </c>
      <c r="AM612" t="s">
        <v>88</v>
      </c>
      <c r="AN612" t="s">
        <v>1758</v>
      </c>
      <c r="AO612" t="s">
        <v>1759</v>
      </c>
      <c r="AP612" t="s">
        <v>1760</v>
      </c>
      <c r="AQ612" t="s">
        <v>74</v>
      </c>
      <c r="AR612" t="s">
        <v>1761</v>
      </c>
      <c r="AS612" t="s">
        <v>1762</v>
      </c>
      <c r="AT612" t="s">
        <v>9487</v>
      </c>
      <c r="AU612">
        <v>2006</v>
      </c>
      <c r="AV612">
        <v>33</v>
      </c>
      <c r="AW612">
        <v>5</v>
      </c>
      <c r="AX612" t="s">
        <v>74</v>
      </c>
      <c r="AY612" t="s">
        <v>74</v>
      </c>
      <c r="AZ612" t="s">
        <v>74</v>
      </c>
      <c r="BA612" t="s">
        <v>74</v>
      </c>
      <c r="BB612" t="s">
        <v>74</v>
      </c>
      <c r="BC612" t="s">
        <v>74</v>
      </c>
      <c r="BD612" t="s">
        <v>9502</v>
      </c>
      <c r="BE612" t="s">
        <v>9503</v>
      </c>
      <c r="BF612" t="str">
        <f>HYPERLINK("http://dx.doi.org/10.1029/2005GL024256","http://dx.doi.org/10.1029/2005GL024256")</f>
        <v>http://dx.doi.org/10.1029/2005GL024256</v>
      </c>
      <c r="BG612" t="s">
        <v>74</v>
      </c>
      <c r="BH612" t="s">
        <v>74</v>
      </c>
      <c r="BI612">
        <v>4</v>
      </c>
      <c r="BJ612" t="s">
        <v>527</v>
      </c>
      <c r="BK612" t="s">
        <v>97</v>
      </c>
      <c r="BL612" t="s">
        <v>528</v>
      </c>
      <c r="BM612" t="s">
        <v>9490</v>
      </c>
      <c r="BN612" t="s">
        <v>74</v>
      </c>
      <c r="BO612" t="s">
        <v>460</v>
      </c>
      <c r="BP612" t="s">
        <v>74</v>
      </c>
      <c r="BQ612" t="s">
        <v>74</v>
      </c>
      <c r="BR612" t="s">
        <v>100</v>
      </c>
      <c r="BS612" t="s">
        <v>9504</v>
      </c>
      <c r="BT612" t="str">
        <f>HYPERLINK("https%3A%2F%2Fwww.webofscience.com%2Fwos%2Fwoscc%2Ffull-record%2FWOS:000236269800001","View Full Record in Web of Science")</f>
        <v>View Full Record in Web of Science</v>
      </c>
    </row>
    <row r="613" spans="1:72" x14ac:dyDescent="0.15">
      <c r="A613" t="s">
        <v>72</v>
      </c>
      <c r="B613" t="s">
        <v>9505</v>
      </c>
      <c r="C613" t="s">
        <v>74</v>
      </c>
      <c r="D613" t="s">
        <v>74</v>
      </c>
      <c r="E613" t="s">
        <v>74</v>
      </c>
      <c r="F613" t="s">
        <v>9505</v>
      </c>
      <c r="G613" t="s">
        <v>74</v>
      </c>
      <c r="H613" t="s">
        <v>74</v>
      </c>
      <c r="I613" t="s">
        <v>9506</v>
      </c>
      <c r="J613" t="s">
        <v>1772</v>
      </c>
      <c r="K613" t="s">
        <v>74</v>
      </c>
      <c r="L613" t="s">
        <v>74</v>
      </c>
      <c r="M613" t="s">
        <v>78</v>
      </c>
      <c r="N613" t="s">
        <v>79</v>
      </c>
      <c r="O613" t="s">
        <v>74</v>
      </c>
      <c r="P613" t="s">
        <v>74</v>
      </c>
      <c r="Q613" t="s">
        <v>74</v>
      </c>
      <c r="R613" t="s">
        <v>74</v>
      </c>
      <c r="S613" t="s">
        <v>74</v>
      </c>
      <c r="T613" t="s">
        <v>74</v>
      </c>
      <c r="U613" t="s">
        <v>9507</v>
      </c>
      <c r="V613" t="s">
        <v>9508</v>
      </c>
      <c r="W613" t="s">
        <v>9509</v>
      </c>
      <c r="X613" t="s">
        <v>9510</v>
      </c>
      <c r="Y613" t="s">
        <v>9511</v>
      </c>
      <c r="Z613" t="s">
        <v>9512</v>
      </c>
      <c r="AA613" t="s">
        <v>9513</v>
      </c>
      <c r="AB613" t="s">
        <v>9514</v>
      </c>
      <c r="AC613" t="s">
        <v>74</v>
      </c>
      <c r="AD613" t="s">
        <v>74</v>
      </c>
      <c r="AE613" t="s">
        <v>74</v>
      </c>
      <c r="AF613" t="s">
        <v>74</v>
      </c>
      <c r="AG613">
        <v>40</v>
      </c>
      <c r="AH613">
        <v>20</v>
      </c>
      <c r="AI613">
        <v>20</v>
      </c>
      <c r="AJ613">
        <v>0</v>
      </c>
      <c r="AK613">
        <v>3</v>
      </c>
      <c r="AL613" t="s">
        <v>1757</v>
      </c>
      <c r="AM613" t="s">
        <v>88</v>
      </c>
      <c r="AN613" t="s">
        <v>1758</v>
      </c>
      <c r="AO613" t="s">
        <v>1779</v>
      </c>
      <c r="AP613" t="s">
        <v>1780</v>
      </c>
      <c r="AQ613" t="s">
        <v>74</v>
      </c>
      <c r="AR613" t="s">
        <v>1781</v>
      </c>
      <c r="AS613" t="s">
        <v>1782</v>
      </c>
      <c r="AT613" t="s">
        <v>9515</v>
      </c>
      <c r="AU613">
        <v>2006</v>
      </c>
      <c r="AV613">
        <v>111</v>
      </c>
      <c r="AW613" t="s">
        <v>9474</v>
      </c>
      <c r="AX613" t="s">
        <v>74</v>
      </c>
      <c r="AY613" t="s">
        <v>74</v>
      </c>
      <c r="AZ613" t="s">
        <v>74</v>
      </c>
      <c r="BA613" t="s">
        <v>74</v>
      </c>
      <c r="BB613" t="s">
        <v>74</v>
      </c>
      <c r="BC613" t="s">
        <v>74</v>
      </c>
      <c r="BD613" t="s">
        <v>9516</v>
      </c>
      <c r="BE613" t="s">
        <v>9517</v>
      </c>
      <c r="BF613" t="str">
        <f>HYPERLINK("http://dx.doi.org/10.1029/2005JD005939","http://dx.doi.org/10.1029/2005JD005939")</f>
        <v>http://dx.doi.org/10.1029/2005JD005939</v>
      </c>
      <c r="BG613" t="s">
        <v>74</v>
      </c>
      <c r="BH613" t="s">
        <v>74</v>
      </c>
      <c r="BI613">
        <v>8</v>
      </c>
      <c r="BJ613" t="s">
        <v>869</v>
      </c>
      <c r="BK613" t="s">
        <v>97</v>
      </c>
      <c r="BL613" t="s">
        <v>869</v>
      </c>
      <c r="BM613" t="s">
        <v>9518</v>
      </c>
      <c r="BN613" t="s">
        <v>74</v>
      </c>
      <c r="BO613" t="s">
        <v>460</v>
      </c>
      <c r="BP613" t="s">
        <v>74</v>
      </c>
      <c r="BQ613" t="s">
        <v>74</v>
      </c>
      <c r="BR613" t="s">
        <v>100</v>
      </c>
      <c r="BS613" t="s">
        <v>9519</v>
      </c>
      <c r="BT613" t="str">
        <f>HYPERLINK("https%3A%2F%2Fwww.webofscience.com%2Fwos%2Fwoscc%2Ffull-record%2FWOS:000236270400001","View Full Record in Web of Science")</f>
        <v>View Full Record in Web of Science</v>
      </c>
    </row>
    <row r="614" spans="1:72" x14ac:dyDescent="0.15">
      <c r="A614" t="s">
        <v>72</v>
      </c>
      <c r="B614" t="s">
        <v>9520</v>
      </c>
      <c r="C614" t="s">
        <v>74</v>
      </c>
      <c r="D614" t="s">
        <v>74</v>
      </c>
      <c r="E614" t="s">
        <v>74</v>
      </c>
      <c r="F614" t="s">
        <v>9520</v>
      </c>
      <c r="G614" t="s">
        <v>74</v>
      </c>
      <c r="H614" t="s">
        <v>74</v>
      </c>
      <c r="I614" t="s">
        <v>9521</v>
      </c>
      <c r="J614" t="s">
        <v>9522</v>
      </c>
      <c r="K614" t="s">
        <v>74</v>
      </c>
      <c r="L614" t="s">
        <v>74</v>
      </c>
      <c r="M614" t="s">
        <v>78</v>
      </c>
      <c r="N614" t="s">
        <v>552</v>
      </c>
      <c r="O614" t="s">
        <v>74</v>
      </c>
      <c r="P614" t="s">
        <v>74</v>
      </c>
      <c r="Q614" t="s">
        <v>74</v>
      </c>
      <c r="R614" t="s">
        <v>74</v>
      </c>
      <c r="S614" t="s">
        <v>74</v>
      </c>
      <c r="T614" t="s">
        <v>74</v>
      </c>
      <c r="U614" t="s">
        <v>9523</v>
      </c>
      <c r="V614" t="s">
        <v>9524</v>
      </c>
      <c r="W614" t="s">
        <v>9525</v>
      </c>
      <c r="X614" t="s">
        <v>4147</v>
      </c>
      <c r="Y614" t="s">
        <v>9526</v>
      </c>
      <c r="Z614" t="s">
        <v>74</v>
      </c>
      <c r="AA614" t="s">
        <v>74</v>
      </c>
      <c r="AB614" t="s">
        <v>9527</v>
      </c>
      <c r="AC614" t="s">
        <v>74</v>
      </c>
      <c r="AD614" t="s">
        <v>74</v>
      </c>
      <c r="AE614" t="s">
        <v>74</v>
      </c>
      <c r="AF614" t="s">
        <v>74</v>
      </c>
      <c r="AG614">
        <v>11</v>
      </c>
      <c r="AH614">
        <v>8</v>
      </c>
      <c r="AI614">
        <v>12</v>
      </c>
      <c r="AJ614">
        <v>1</v>
      </c>
      <c r="AK614">
        <v>9</v>
      </c>
      <c r="AL614" t="s">
        <v>9528</v>
      </c>
      <c r="AM614" t="s">
        <v>5362</v>
      </c>
      <c r="AN614" t="s">
        <v>9529</v>
      </c>
      <c r="AO614" t="s">
        <v>9530</v>
      </c>
      <c r="AP614" t="s">
        <v>74</v>
      </c>
      <c r="AQ614" t="s">
        <v>74</v>
      </c>
      <c r="AR614" t="s">
        <v>9531</v>
      </c>
      <c r="AS614" t="s">
        <v>9532</v>
      </c>
      <c r="AT614" t="s">
        <v>9533</v>
      </c>
      <c r="AU614">
        <v>2006</v>
      </c>
      <c r="AV614">
        <v>16</v>
      </c>
      <c r="AW614">
        <v>5</v>
      </c>
      <c r="AX614" t="s">
        <v>74</v>
      </c>
      <c r="AY614" t="s">
        <v>74</v>
      </c>
      <c r="AZ614" t="s">
        <v>74</v>
      </c>
      <c r="BA614" t="s">
        <v>74</v>
      </c>
      <c r="BB614" t="s">
        <v>9534</v>
      </c>
      <c r="BC614" t="s">
        <v>9535</v>
      </c>
      <c r="BD614" t="s">
        <v>74</v>
      </c>
      <c r="BE614" t="s">
        <v>9536</v>
      </c>
      <c r="BF614" t="str">
        <f>HYPERLINK("http://dx.doi.org/10.1016/j.cub.2006.02.044","http://dx.doi.org/10.1016/j.cub.2006.02.044")</f>
        <v>http://dx.doi.org/10.1016/j.cub.2006.02.044</v>
      </c>
      <c r="BG614" t="s">
        <v>74</v>
      </c>
      <c r="BH614" t="s">
        <v>74</v>
      </c>
      <c r="BI614">
        <v>3</v>
      </c>
      <c r="BJ614" t="s">
        <v>9537</v>
      </c>
      <c r="BK614" t="s">
        <v>97</v>
      </c>
      <c r="BL614" t="s">
        <v>9538</v>
      </c>
      <c r="BM614" t="s">
        <v>9539</v>
      </c>
      <c r="BN614">
        <v>16527737</v>
      </c>
      <c r="BO614" t="s">
        <v>901</v>
      </c>
      <c r="BP614" t="s">
        <v>74</v>
      </c>
      <c r="BQ614" t="s">
        <v>74</v>
      </c>
      <c r="BR614" t="s">
        <v>100</v>
      </c>
      <c r="BS614" t="s">
        <v>9540</v>
      </c>
      <c r="BT614" t="str">
        <f>HYPERLINK("https%3A%2F%2Fwww.webofscience.com%2Fwos%2Fwoscc%2Ffull-record%2FWOS:000236056100017","View Full Record in Web of Science")</f>
        <v>View Full Record in Web of Science</v>
      </c>
    </row>
    <row r="615" spans="1:72" x14ac:dyDescent="0.15">
      <c r="A615" t="s">
        <v>72</v>
      </c>
      <c r="B615" t="s">
        <v>9541</v>
      </c>
      <c r="C615" t="s">
        <v>74</v>
      </c>
      <c r="D615" t="s">
        <v>74</v>
      </c>
      <c r="E615" t="s">
        <v>74</v>
      </c>
      <c r="F615" t="s">
        <v>9541</v>
      </c>
      <c r="G615" t="s">
        <v>74</v>
      </c>
      <c r="H615" t="s">
        <v>74</v>
      </c>
      <c r="I615" t="s">
        <v>9542</v>
      </c>
      <c r="J615" t="s">
        <v>1748</v>
      </c>
      <c r="K615" t="s">
        <v>74</v>
      </c>
      <c r="L615" t="s">
        <v>74</v>
      </c>
      <c r="M615" t="s">
        <v>78</v>
      </c>
      <c r="N615" t="s">
        <v>79</v>
      </c>
      <c r="O615" t="s">
        <v>74</v>
      </c>
      <c r="P615" t="s">
        <v>74</v>
      </c>
      <c r="Q615" t="s">
        <v>74</v>
      </c>
      <c r="R615" t="s">
        <v>74</v>
      </c>
      <c r="S615" t="s">
        <v>74</v>
      </c>
      <c r="T615" t="s">
        <v>74</v>
      </c>
      <c r="U615" t="s">
        <v>9543</v>
      </c>
      <c r="V615" t="s">
        <v>9544</v>
      </c>
      <c r="W615" t="s">
        <v>9545</v>
      </c>
      <c r="X615" t="s">
        <v>9546</v>
      </c>
      <c r="Y615" t="s">
        <v>9547</v>
      </c>
      <c r="Z615" t="s">
        <v>9548</v>
      </c>
      <c r="AA615" t="s">
        <v>9549</v>
      </c>
      <c r="AB615" t="s">
        <v>9550</v>
      </c>
      <c r="AC615" t="s">
        <v>74</v>
      </c>
      <c r="AD615" t="s">
        <v>74</v>
      </c>
      <c r="AE615" t="s">
        <v>74</v>
      </c>
      <c r="AF615" t="s">
        <v>74</v>
      </c>
      <c r="AG615">
        <v>21</v>
      </c>
      <c r="AH615">
        <v>42</v>
      </c>
      <c r="AI615">
        <v>46</v>
      </c>
      <c r="AJ615">
        <v>0</v>
      </c>
      <c r="AK615">
        <v>9</v>
      </c>
      <c r="AL615" t="s">
        <v>1757</v>
      </c>
      <c r="AM615" t="s">
        <v>88</v>
      </c>
      <c r="AN615" t="s">
        <v>1758</v>
      </c>
      <c r="AO615" t="s">
        <v>1759</v>
      </c>
      <c r="AP615" t="s">
        <v>1760</v>
      </c>
      <c r="AQ615" t="s">
        <v>74</v>
      </c>
      <c r="AR615" t="s">
        <v>1761</v>
      </c>
      <c r="AS615" t="s">
        <v>1762</v>
      </c>
      <c r="AT615" t="s">
        <v>9533</v>
      </c>
      <c r="AU615">
        <v>2006</v>
      </c>
      <c r="AV615">
        <v>33</v>
      </c>
      <c r="AW615">
        <v>5</v>
      </c>
      <c r="AX615" t="s">
        <v>74</v>
      </c>
      <c r="AY615" t="s">
        <v>74</v>
      </c>
      <c r="AZ615" t="s">
        <v>74</v>
      </c>
      <c r="BA615" t="s">
        <v>74</v>
      </c>
      <c r="BB615" t="s">
        <v>74</v>
      </c>
      <c r="BC615" t="s">
        <v>74</v>
      </c>
      <c r="BD615" t="s">
        <v>9551</v>
      </c>
      <c r="BE615" t="s">
        <v>9552</v>
      </c>
      <c r="BF615" t="str">
        <f>HYPERLINK("http://dx.doi.org/10.1029/2005GL025368","http://dx.doi.org/10.1029/2005GL025368")</f>
        <v>http://dx.doi.org/10.1029/2005GL025368</v>
      </c>
      <c r="BG615" t="s">
        <v>74</v>
      </c>
      <c r="BH615" t="s">
        <v>74</v>
      </c>
      <c r="BI615">
        <v>4</v>
      </c>
      <c r="BJ615" t="s">
        <v>527</v>
      </c>
      <c r="BK615" t="s">
        <v>97</v>
      </c>
      <c r="BL615" t="s">
        <v>528</v>
      </c>
      <c r="BM615" t="s">
        <v>9553</v>
      </c>
      <c r="BN615" t="s">
        <v>74</v>
      </c>
      <c r="BO615" t="s">
        <v>9554</v>
      </c>
      <c r="BP615" t="s">
        <v>74</v>
      </c>
      <c r="BQ615" t="s">
        <v>74</v>
      </c>
      <c r="BR615" t="s">
        <v>100</v>
      </c>
      <c r="BS615" t="s">
        <v>9555</v>
      </c>
      <c r="BT615" t="str">
        <f>HYPERLINK("https%3A%2F%2Fwww.webofscience.com%2Fwos%2Fwoscc%2Ffull-record%2FWOS:000236269100007","View Full Record in Web of Science")</f>
        <v>View Full Record in Web of Science</v>
      </c>
    </row>
    <row r="616" spans="1:72" x14ac:dyDescent="0.15">
      <c r="A616" t="s">
        <v>72</v>
      </c>
      <c r="B616" t="s">
        <v>9556</v>
      </c>
      <c r="C616" t="s">
        <v>74</v>
      </c>
      <c r="D616" t="s">
        <v>74</v>
      </c>
      <c r="E616" t="s">
        <v>74</v>
      </c>
      <c r="F616" t="s">
        <v>9556</v>
      </c>
      <c r="G616" t="s">
        <v>74</v>
      </c>
      <c r="H616" t="s">
        <v>74</v>
      </c>
      <c r="I616" t="s">
        <v>9557</v>
      </c>
      <c r="J616" t="s">
        <v>9558</v>
      </c>
      <c r="K616" t="s">
        <v>74</v>
      </c>
      <c r="L616" t="s">
        <v>74</v>
      </c>
      <c r="M616" t="s">
        <v>78</v>
      </c>
      <c r="N616" t="s">
        <v>79</v>
      </c>
      <c r="O616" t="s">
        <v>74</v>
      </c>
      <c r="P616" t="s">
        <v>74</v>
      </c>
      <c r="Q616" t="s">
        <v>74</v>
      </c>
      <c r="R616" t="s">
        <v>74</v>
      </c>
      <c r="S616" t="s">
        <v>74</v>
      </c>
      <c r="T616" t="s">
        <v>74</v>
      </c>
      <c r="U616" t="s">
        <v>9559</v>
      </c>
      <c r="V616" t="s">
        <v>9560</v>
      </c>
      <c r="W616" t="s">
        <v>9561</v>
      </c>
      <c r="X616" t="s">
        <v>9562</v>
      </c>
      <c r="Y616" t="s">
        <v>9563</v>
      </c>
      <c r="Z616" t="s">
        <v>9564</v>
      </c>
      <c r="AA616" t="s">
        <v>9565</v>
      </c>
      <c r="AB616" t="s">
        <v>9566</v>
      </c>
      <c r="AC616" t="s">
        <v>74</v>
      </c>
      <c r="AD616" t="s">
        <v>74</v>
      </c>
      <c r="AE616" t="s">
        <v>74</v>
      </c>
      <c r="AF616" t="s">
        <v>74</v>
      </c>
      <c r="AG616">
        <v>9</v>
      </c>
      <c r="AH616">
        <v>9</v>
      </c>
      <c r="AI616">
        <v>11</v>
      </c>
      <c r="AJ616">
        <v>0</v>
      </c>
      <c r="AK616">
        <v>17</v>
      </c>
      <c r="AL616" t="s">
        <v>9567</v>
      </c>
      <c r="AM616" t="s">
        <v>5015</v>
      </c>
      <c r="AN616" t="s">
        <v>9568</v>
      </c>
      <c r="AO616" t="s">
        <v>9569</v>
      </c>
      <c r="AP616" t="s">
        <v>9570</v>
      </c>
      <c r="AQ616" t="s">
        <v>74</v>
      </c>
      <c r="AR616" t="s">
        <v>9571</v>
      </c>
      <c r="AS616" t="s">
        <v>9572</v>
      </c>
      <c r="AT616" t="s">
        <v>9573</v>
      </c>
      <c r="AU616">
        <v>2006</v>
      </c>
      <c r="AV616">
        <v>35</v>
      </c>
      <c r="AW616">
        <v>3</v>
      </c>
      <c r="AX616" t="s">
        <v>74</v>
      </c>
      <c r="AY616" t="s">
        <v>74</v>
      </c>
      <c r="AZ616" t="s">
        <v>74</v>
      </c>
      <c r="BA616" t="s">
        <v>74</v>
      </c>
      <c r="BB616">
        <v>292</v>
      </c>
      <c r="BC616">
        <v>293</v>
      </c>
      <c r="BD616" t="s">
        <v>74</v>
      </c>
      <c r="BE616" t="s">
        <v>9574</v>
      </c>
      <c r="BF616" t="str">
        <f>HYPERLINK("http://dx.doi.org/10.1246/cl.2006.292","http://dx.doi.org/10.1246/cl.2006.292")</f>
        <v>http://dx.doi.org/10.1246/cl.2006.292</v>
      </c>
      <c r="BG616" t="s">
        <v>74</v>
      </c>
      <c r="BH616" t="s">
        <v>74</v>
      </c>
      <c r="BI616">
        <v>2</v>
      </c>
      <c r="BJ616" t="s">
        <v>6350</v>
      </c>
      <c r="BK616" t="s">
        <v>97</v>
      </c>
      <c r="BL616" t="s">
        <v>6352</v>
      </c>
      <c r="BM616" t="s">
        <v>9575</v>
      </c>
      <c r="BN616" t="s">
        <v>74</v>
      </c>
      <c r="BO616" t="s">
        <v>74</v>
      </c>
      <c r="BP616" t="s">
        <v>74</v>
      </c>
      <c r="BQ616" t="s">
        <v>74</v>
      </c>
      <c r="BR616" t="s">
        <v>100</v>
      </c>
      <c r="BS616" t="s">
        <v>9576</v>
      </c>
      <c r="BT616" t="str">
        <f>HYPERLINK("https%3A%2F%2Fwww.webofscience.com%2Fwos%2Fwoscc%2Ffull-record%2FWOS:000237207000024","View Full Record in Web of Science")</f>
        <v>View Full Record in Web of Science</v>
      </c>
    </row>
    <row r="617" spans="1:72" x14ac:dyDescent="0.15">
      <c r="A617" t="s">
        <v>72</v>
      </c>
      <c r="B617" t="s">
        <v>9577</v>
      </c>
      <c r="C617" t="s">
        <v>74</v>
      </c>
      <c r="D617" t="s">
        <v>74</v>
      </c>
      <c r="E617" t="s">
        <v>74</v>
      </c>
      <c r="F617" t="s">
        <v>9577</v>
      </c>
      <c r="G617" t="s">
        <v>74</v>
      </c>
      <c r="H617" t="s">
        <v>74</v>
      </c>
      <c r="I617" t="s">
        <v>9578</v>
      </c>
      <c r="J617" t="s">
        <v>9098</v>
      </c>
      <c r="K617" t="s">
        <v>74</v>
      </c>
      <c r="L617" t="s">
        <v>74</v>
      </c>
      <c r="M617" t="s">
        <v>78</v>
      </c>
      <c r="N617" t="s">
        <v>79</v>
      </c>
      <c r="O617" t="s">
        <v>74</v>
      </c>
      <c r="P617" t="s">
        <v>74</v>
      </c>
      <c r="Q617" t="s">
        <v>74</v>
      </c>
      <c r="R617" t="s">
        <v>74</v>
      </c>
      <c r="S617" t="s">
        <v>74</v>
      </c>
      <c r="T617" t="s">
        <v>9579</v>
      </c>
      <c r="U617" t="s">
        <v>9580</v>
      </c>
      <c r="V617" t="s">
        <v>9581</v>
      </c>
      <c r="W617" t="s">
        <v>9582</v>
      </c>
      <c r="X617" t="s">
        <v>9583</v>
      </c>
      <c r="Y617" t="s">
        <v>9584</v>
      </c>
      <c r="Z617" t="s">
        <v>9585</v>
      </c>
      <c r="AA617" t="s">
        <v>9586</v>
      </c>
      <c r="AB617" t="s">
        <v>9587</v>
      </c>
      <c r="AC617" t="s">
        <v>74</v>
      </c>
      <c r="AD617" t="s">
        <v>74</v>
      </c>
      <c r="AE617" t="s">
        <v>74</v>
      </c>
      <c r="AF617" t="s">
        <v>74</v>
      </c>
      <c r="AG617">
        <v>99</v>
      </c>
      <c r="AH617">
        <v>75</v>
      </c>
      <c r="AI617">
        <v>104</v>
      </c>
      <c r="AJ617">
        <v>0</v>
      </c>
      <c r="AK617">
        <v>13</v>
      </c>
      <c r="AL617" t="s">
        <v>519</v>
      </c>
      <c r="AM617" t="s">
        <v>520</v>
      </c>
      <c r="AN617" t="s">
        <v>521</v>
      </c>
      <c r="AO617" t="s">
        <v>9108</v>
      </c>
      <c r="AP617" t="s">
        <v>9109</v>
      </c>
      <c r="AQ617" t="s">
        <v>74</v>
      </c>
      <c r="AR617" t="s">
        <v>9110</v>
      </c>
      <c r="AS617" t="s">
        <v>9111</v>
      </c>
      <c r="AT617" t="s">
        <v>9573</v>
      </c>
      <c r="AU617">
        <v>2006</v>
      </c>
      <c r="AV617">
        <v>145</v>
      </c>
      <c r="AW617" t="s">
        <v>765</v>
      </c>
      <c r="AX617" t="s">
        <v>74</v>
      </c>
      <c r="AY617" t="s">
        <v>74</v>
      </c>
      <c r="AZ617" t="s">
        <v>74</v>
      </c>
      <c r="BA617" t="s">
        <v>74</v>
      </c>
      <c r="BB617">
        <v>131</v>
      </c>
      <c r="BC617">
        <v>154</v>
      </c>
      <c r="BD617" t="s">
        <v>74</v>
      </c>
      <c r="BE617" t="s">
        <v>9588</v>
      </c>
      <c r="BF617" t="str">
        <f>HYPERLINK("http://dx.doi.org/10.1016/j.precamres.2005.11.017","http://dx.doi.org/10.1016/j.precamres.2005.11.017")</f>
        <v>http://dx.doi.org/10.1016/j.precamres.2005.11.017</v>
      </c>
      <c r="BG617" t="s">
        <v>74</v>
      </c>
      <c r="BH617" t="s">
        <v>74</v>
      </c>
      <c r="BI617">
        <v>24</v>
      </c>
      <c r="BJ617" t="s">
        <v>527</v>
      </c>
      <c r="BK617" t="s">
        <v>97</v>
      </c>
      <c r="BL617" t="s">
        <v>528</v>
      </c>
      <c r="BM617" t="s">
        <v>9589</v>
      </c>
      <c r="BN617" t="s">
        <v>74</v>
      </c>
      <c r="BO617" t="s">
        <v>74</v>
      </c>
      <c r="BP617" t="s">
        <v>74</v>
      </c>
      <c r="BQ617" t="s">
        <v>74</v>
      </c>
      <c r="BR617" t="s">
        <v>100</v>
      </c>
      <c r="BS617" t="s">
        <v>9590</v>
      </c>
      <c r="BT617" t="str">
        <f>HYPERLINK("https%3A%2F%2Fwww.webofscience.com%2Fwos%2Fwoscc%2Ffull-record%2FWOS:000236393400007","View Full Record in Web of Science")</f>
        <v>View Full Record in Web of Science</v>
      </c>
    </row>
    <row r="618" spans="1:72" x14ac:dyDescent="0.15">
      <c r="A618" t="s">
        <v>72</v>
      </c>
      <c r="B618" t="s">
        <v>9591</v>
      </c>
      <c r="C618" t="s">
        <v>74</v>
      </c>
      <c r="D618" t="s">
        <v>74</v>
      </c>
      <c r="E618" t="s">
        <v>74</v>
      </c>
      <c r="F618" t="s">
        <v>9591</v>
      </c>
      <c r="G618" t="s">
        <v>74</v>
      </c>
      <c r="H618" t="s">
        <v>74</v>
      </c>
      <c r="I618" t="s">
        <v>9592</v>
      </c>
      <c r="J618" t="s">
        <v>4106</v>
      </c>
      <c r="K618" t="s">
        <v>74</v>
      </c>
      <c r="L618" t="s">
        <v>74</v>
      </c>
      <c r="M618" t="s">
        <v>78</v>
      </c>
      <c r="N618" t="s">
        <v>79</v>
      </c>
      <c r="O618" t="s">
        <v>74</v>
      </c>
      <c r="P618" t="s">
        <v>74</v>
      </c>
      <c r="Q618" t="s">
        <v>74</v>
      </c>
      <c r="R618" t="s">
        <v>74</v>
      </c>
      <c r="S618" t="s">
        <v>74</v>
      </c>
      <c r="T618" t="s">
        <v>74</v>
      </c>
      <c r="U618" t="s">
        <v>9593</v>
      </c>
      <c r="V618" t="s">
        <v>9594</v>
      </c>
      <c r="W618" t="s">
        <v>9595</v>
      </c>
      <c r="X618" t="s">
        <v>9596</v>
      </c>
      <c r="Y618" t="s">
        <v>9597</v>
      </c>
      <c r="Z618" t="s">
        <v>9598</v>
      </c>
      <c r="AA618" t="s">
        <v>9599</v>
      </c>
      <c r="AB618" t="s">
        <v>9600</v>
      </c>
      <c r="AC618" t="s">
        <v>74</v>
      </c>
      <c r="AD618" t="s">
        <v>74</v>
      </c>
      <c r="AE618" t="s">
        <v>74</v>
      </c>
      <c r="AF618" t="s">
        <v>74</v>
      </c>
      <c r="AG618">
        <v>72</v>
      </c>
      <c r="AH618">
        <v>34</v>
      </c>
      <c r="AI618">
        <v>35</v>
      </c>
      <c r="AJ618">
        <v>0</v>
      </c>
      <c r="AK618">
        <v>16</v>
      </c>
      <c r="AL618" t="s">
        <v>1757</v>
      </c>
      <c r="AM618" t="s">
        <v>88</v>
      </c>
      <c r="AN618" t="s">
        <v>1758</v>
      </c>
      <c r="AO618" t="s">
        <v>4115</v>
      </c>
      <c r="AP618" t="s">
        <v>4116</v>
      </c>
      <c r="AQ618" t="s">
        <v>74</v>
      </c>
      <c r="AR618" t="s">
        <v>4117</v>
      </c>
      <c r="AS618" t="s">
        <v>4118</v>
      </c>
      <c r="AT618" t="s">
        <v>9601</v>
      </c>
      <c r="AU618">
        <v>2006</v>
      </c>
      <c r="AV618">
        <v>111</v>
      </c>
      <c r="AW618" t="s">
        <v>9305</v>
      </c>
      <c r="AX618" t="s">
        <v>74</v>
      </c>
      <c r="AY618" t="s">
        <v>74</v>
      </c>
      <c r="AZ618" t="s">
        <v>74</v>
      </c>
      <c r="BA618" t="s">
        <v>74</v>
      </c>
      <c r="BB618" t="s">
        <v>74</v>
      </c>
      <c r="BC618" t="s">
        <v>74</v>
      </c>
      <c r="BD618" t="s">
        <v>9602</v>
      </c>
      <c r="BE618" t="s">
        <v>9603</v>
      </c>
      <c r="BF618" t="str">
        <f>HYPERLINK("http://dx.doi.org/10.1029/2005JF000363","http://dx.doi.org/10.1029/2005JF000363")</f>
        <v>http://dx.doi.org/10.1029/2005JF000363</v>
      </c>
      <c r="BG618" t="s">
        <v>74</v>
      </c>
      <c r="BH618" t="s">
        <v>74</v>
      </c>
      <c r="BI618">
        <v>12</v>
      </c>
      <c r="BJ618" t="s">
        <v>527</v>
      </c>
      <c r="BK618" t="s">
        <v>97</v>
      </c>
      <c r="BL618" t="s">
        <v>528</v>
      </c>
      <c r="BM618" t="s">
        <v>9604</v>
      </c>
      <c r="BN618" t="s">
        <v>74</v>
      </c>
      <c r="BO618" t="s">
        <v>460</v>
      </c>
      <c r="BP618" t="s">
        <v>74</v>
      </c>
      <c r="BQ618" t="s">
        <v>74</v>
      </c>
      <c r="BR618" t="s">
        <v>100</v>
      </c>
      <c r="BS618" t="s">
        <v>9605</v>
      </c>
      <c r="BT618" t="str">
        <f>HYPERLINK("https%3A%2F%2Fwww.webofscience.com%2Fwos%2Fwoscc%2Ffull-record%2FWOS:000235994800003","View Full Record in Web of Science")</f>
        <v>View Full Record in Web of Science</v>
      </c>
    </row>
    <row r="619" spans="1:72" x14ac:dyDescent="0.15">
      <c r="A619" t="s">
        <v>72</v>
      </c>
      <c r="B619" t="s">
        <v>9606</v>
      </c>
      <c r="C619" t="s">
        <v>74</v>
      </c>
      <c r="D619" t="s">
        <v>74</v>
      </c>
      <c r="E619" t="s">
        <v>74</v>
      </c>
      <c r="F619" t="s">
        <v>9606</v>
      </c>
      <c r="G619" t="s">
        <v>74</v>
      </c>
      <c r="H619" t="s">
        <v>74</v>
      </c>
      <c r="I619" t="s">
        <v>9607</v>
      </c>
      <c r="J619" t="s">
        <v>4106</v>
      </c>
      <c r="K619" t="s">
        <v>74</v>
      </c>
      <c r="L619" t="s">
        <v>74</v>
      </c>
      <c r="M619" t="s">
        <v>78</v>
      </c>
      <c r="N619" t="s">
        <v>79</v>
      </c>
      <c r="O619" t="s">
        <v>74</v>
      </c>
      <c r="P619" t="s">
        <v>74</v>
      </c>
      <c r="Q619" t="s">
        <v>74</v>
      </c>
      <c r="R619" t="s">
        <v>74</v>
      </c>
      <c r="S619" t="s">
        <v>74</v>
      </c>
      <c r="T619" t="s">
        <v>74</v>
      </c>
      <c r="U619" t="s">
        <v>9608</v>
      </c>
      <c r="V619" t="s">
        <v>9609</v>
      </c>
      <c r="W619" t="s">
        <v>9610</v>
      </c>
      <c r="X619" t="s">
        <v>9611</v>
      </c>
      <c r="Y619" t="s">
        <v>9612</v>
      </c>
      <c r="Z619" t="s">
        <v>9613</v>
      </c>
      <c r="AA619" t="s">
        <v>9614</v>
      </c>
      <c r="AB619" t="s">
        <v>9615</v>
      </c>
      <c r="AC619" t="s">
        <v>74</v>
      </c>
      <c r="AD619" t="s">
        <v>74</v>
      </c>
      <c r="AE619" t="s">
        <v>74</v>
      </c>
      <c r="AF619" t="s">
        <v>74</v>
      </c>
      <c r="AG619">
        <v>69</v>
      </c>
      <c r="AH619">
        <v>74</v>
      </c>
      <c r="AI619">
        <v>82</v>
      </c>
      <c r="AJ619">
        <v>1</v>
      </c>
      <c r="AK619">
        <v>22</v>
      </c>
      <c r="AL619" t="s">
        <v>1757</v>
      </c>
      <c r="AM619" t="s">
        <v>88</v>
      </c>
      <c r="AN619" t="s">
        <v>1758</v>
      </c>
      <c r="AO619" t="s">
        <v>4115</v>
      </c>
      <c r="AP619" t="s">
        <v>4116</v>
      </c>
      <c r="AQ619" t="s">
        <v>74</v>
      </c>
      <c r="AR619" t="s">
        <v>4117</v>
      </c>
      <c r="AS619" t="s">
        <v>4118</v>
      </c>
      <c r="AT619" t="s">
        <v>9601</v>
      </c>
      <c r="AU619">
        <v>2006</v>
      </c>
      <c r="AV619">
        <v>111</v>
      </c>
      <c r="AW619" t="s">
        <v>9305</v>
      </c>
      <c r="AX619" t="s">
        <v>74</v>
      </c>
      <c r="AY619" t="s">
        <v>74</v>
      </c>
      <c r="AZ619" t="s">
        <v>74</v>
      </c>
      <c r="BA619" t="s">
        <v>74</v>
      </c>
      <c r="BB619" t="s">
        <v>74</v>
      </c>
      <c r="BC619" t="s">
        <v>74</v>
      </c>
      <c r="BD619" t="s">
        <v>9616</v>
      </c>
      <c r="BE619" t="s">
        <v>9617</v>
      </c>
      <c r="BF619" t="str">
        <f>HYPERLINK("http://dx.doi.org/10.1029/2005JF000320","http://dx.doi.org/10.1029/2005JF000320")</f>
        <v>http://dx.doi.org/10.1029/2005JF000320</v>
      </c>
      <c r="BG619" t="s">
        <v>74</v>
      </c>
      <c r="BH619" t="s">
        <v>74</v>
      </c>
      <c r="BI619">
        <v>18</v>
      </c>
      <c r="BJ619" t="s">
        <v>527</v>
      </c>
      <c r="BK619" t="s">
        <v>97</v>
      </c>
      <c r="BL619" t="s">
        <v>528</v>
      </c>
      <c r="BM619" t="s">
        <v>9604</v>
      </c>
      <c r="BN619" t="s">
        <v>74</v>
      </c>
      <c r="BO619" t="s">
        <v>99</v>
      </c>
      <c r="BP619" t="s">
        <v>74</v>
      </c>
      <c r="BQ619" t="s">
        <v>74</v>
      </c>
      <c r="BR619" t="s">
        <v>100</v>
      </c>
      <c r="BS619" t="s">
        <v>9618</v>
      </c>
      <c r="BT619" t="str">
        <f>HYPERLINK("https%3A%2F%2Fwww.webofscience.com%2Fwos%2Fwoscc%2Ffull-record%2FWOS:000235994800001","View Full Record in Web of Science")</f>
        <v>View Full Record in Web of Science</v>
      </c>
    </row>
    <row r="620" spans="1:72" x14ac:dyDescent="0.15">
      <c r="A620" t="s">
        <v>72</v>
      </c>
      <c r="B620" t="s">
        <v>9619</v>
      </c>
      <c r="C620" t="s">
        <v>74</v>
      </c>
      <c r="D620" t="s">
        <v>74</v>
      </c>
      <c r="E620" t="s">
        <v>74</v>
      </c>
      <c r="F620" t="s">
        <v>9619</v>
      </c>
      <c r="G620" t="s">
        <v>74</v>
      </c>
      <c r="H620" t="s">
        <v>74</v>
      </c>
      <c r="I620" t="s">
        <v>9620</v>
      </c>
      <c r="J620" t="s">
        <v>2354</v>
      </c>
      <c r="K620" t="s">
        <v>74</v>
      </c>
      <c r="L620" t="s">
        <v>74</v>
      </c>
      <c r="M620" t="s">
        <v>78</v>
      </c>
      <c r="N620" t="s">
        <v>79</v>
      </c>
      <c r="O620" t="s">
        <v>74</v>
      </c>
      <c r="P620" t="s">
        <v>74</v>
      </c>
      <c r="Q620" t="s">
        <v>74</v>
      </c>
      <c r="R620" t="s">
        <v>74</v>
      </c>
      <c r="S620" t="s">
        <v>74</v>
      </c>
      <c r="T620" t="s">
        <v>74</v>
      </c>
      <c r="U620" t="s">
        <v>9621</v>
      </c>
      <c r="V620" t="s">
        <v>9622</v>
      </c>
      <c r="W620" t="s">
        <v>9623</v>
      </c>
      <c r="X620" t="s">
        <v>9624</v>
      </c>
      <c r="Y620" t="s">
        <v>9625</v>
      </c>
      <c r="Z620" t="s">
        <v>9626</v>
      </c>
      <c r="AA620" t="s">
        <v>9627</v>
      </c>
      <c r="AB620" t="s">
        <v>9628</v>
      </c>
      <c r="AC620" t="s">
        <v>8881</v>
      </c>
      <c r="AD620" t="s">
        <v>1328</v>
      </c>
      <c r="AE620" t="s">
        <v>74</v>
      </c>
      <c r="AF620" t="s">
        <v>74</v>
      </c>
      <c r="AG620">
        <v>34</v>
      </c>
      <c r="AH620">
        <v>117</v>
      </c>
      <c r="AI620">
        <v>123</v>
      </c>
      <c r="AJ620">
        <v>0</v>
      </c>
      <c r="AK620">
        <v>20</v>
      </c>
      <c r="AL620" t="s">
        <v>1757</v>
      </c>
      <c r="AM620" t="s">
        <v>88</v>
      </c>
      <c r="AN620" t="s">
        <v>1758</v>
      </c>
      <c r="AO620" t="s">
        <v>2363</v>
      </c>
      <c r="AP620" t="s">
        <v>2364</v>
      </c>
      <c r="AQ620" t="s">
        <v>74</v>
      </c>
      <c r="AR620" t="s">
        <v>2365</v>
      </c>
      <c r="AS620" t="s">
        <v>2366</v>
      </c>
      <c r="AT620" t="s">
        <v>9601</v>
      </c>
      <c r="AU620">
        <v>2006</v>
      </c>
      <c r="AV620">
        <v>111</v>
      </c>
      <c r="AW620" t="s">
        <v>9078</v>
      </c>
      <c r="AX620" t="s">
        <v>74</v>
      </c>
      <c r="AY620" t="s">
        <v>74</v>
      </c>
      <c r="AZ620" t="s">
        <v>74</v>
      </c>
      <c r="BA620" t="s">
        <v>74</v>
      </c>
      <c r="BB620" t="s">
        <v>74</v>
      </c>
      <c r="BC620" t="s">
        <v>74</v>
      </c>
      <c r="BD620" t="s">
        <v>9629</v>
      </c>
      <c r="BE620" t="s">
        <v>9630</v>
      </c>
      <c r="BF620" t="str">
        <f>HYPERLINK("http://dx.doi.org/10.1029/2004JC002843","http://dx.doi.org/10.1029/2004JC002843")</f>
        <v>http://dx.doi.org/10.1029/2004JC002843</v>
      </c>
      <c r="BG620" t="s">
        <v>74</v>
      </c>
      <c r="BH620" t="s">
        <v>74</v>
      </c>
      <c r="BI620">
        <v>8</v>
      </c>
      <c r="BJ620" t="s">
        <v>1069</v>
      </c>
      <c r="BK620" t="s">
        <v>97</v>
      </c>
      <c r="BL620" t="s">
        <v>1069</v>
      </c>
      <c r="BM620" t="s">
        <v>9631</v>
      </c>
      <c r="BN620" t="s">
        <v>74</v>
      </c>
      <c r="BO620" t="s">
        <v>460</v>
      </c>
      <c r="BP620" t="s">
        <v>74</v>
      </c>
      <c r="BQ620" t="s">
        <v>74</v>
      </c>
      <c r="BR620" t="s">
        <v>100</v>
      </c>
      <c r="BS620" t="s">
        <v>9632</v>
      </c>
      <c r="BT620" t="str">
        <f>HYPERLINK("https%3A%2F%2Fwww.webofscience.com%2Fwos%2Fwoscc%2Ffull-record%2FWOS:000235995000001","View Full Record in Web of Science")</f>
        <v>View Full Record in Web of Science</v>
      </c>
    </row>
    <row r="621" spans="1:72" x14ac:dyDescent="0.15">
      <c r="A621" t="s">
        <v>72</v>
      </c>
      <c r="B621" t="s">
        <v>9633</v>
      </c>
      <c r="C621" t="s">
        <v>74</v>
      </c>
      <c r="D621" t="s">
        <v>74</v>
      </c>
      <c r="E621" t="s">
        <v>74</v>
      </c>
      <c r="F621" t="s">
        <v>9633</v>
      </c>
      <c r="G621" t="s">
        <v>74</v>
      </c>
      <c r="H621" t="s">
        <v>74</v>
      </c>
      <c r="I621" t="s">
        <v>9634</v>
      </c>
      <c r="J621" t="s">
        <v>1772</v>
      </c>
      <c r="K621" t="s">
        <v>74</v>
      </c>
      <c r="L621" t="s">
        <v>74</v>
      </c>
      <c r="M621" t="s">
        <v>78</v>
      </c>
      <c r="N621" t="s">
        <v>79</v>
      </c>
      <c r="O621" t="s">
        <v>74</v>
      </c>
      <c r="P621" t="s">
        <v>74</v>
      </c>
      <c r="Q621" t="s">
        <v>74</v>
      </c>
      <c r="R621" t="s">
        <v>74</v>
      </c>
      <c r="S621" t="s">
        <v>74</v>
      </c>
      <c r="T621" t="s">
        <v>74</v>
      </c>
      <c r="U621" t="s">
        <v>9635</v>
      </c>
      <c r="V621" t="s">
        <v>9636</v>
      </c>
      <c r="W621" t="s">
        <v>9272</v>
      </c>
      <c r="X621" t="s">
        <v>9273</v>
      </c>
      <c r="Y621" t="s">
        <v>9637</v>
      </c>
      <c r="Z621" t="s">
        <v>9275</v>
      </c>
      <c r="AA621" t="s">
        <v>9638</v>
      </c>
      <c r="AB621" t="s">
        <v>9639</v>
      </c>
      <c r="AC621" t="s">
        <v>74</v>
      </c>
      <c r="AD621" t="s">
        <v>74</v>
      </c>
      <c r="AE621" t="s">
        <v>74</v>
      </c>
      <c r="AF621" t="s">
        <v>74</v>
      </c>
      <c r="AG621">
        <v>64</v>
      </c>
      <c r="AH621">
        <v>43</v>
      </c>
      <c r="AI621">
        <v>43</v>
      </c>
      <c r="AJ621">
        <v>0</v>
      </c>
      <c r="AK621">
        <v>21</v>
      </c>
      <c r="AL621" t="s">
        <v>1757</v>
      </c>
      <c r="AM621" t="s">
        <v>88</v>
      </c>
      <c r="AN621" t="s">
        <v>1758</v>
      </c>
      <c r="AO621" t="s">
        <v>1779</v>
      </c>
      <c r="AP621" t="s">
        <v>74</v>
      </c>
      <c r="AQ621" t="s">
        <v>74</v>
      </c>
      <c r="AR621" t="s">
        <v>1781</v>
      </c>
      <c r="AS621" t="s">
        <v>1782</v>
      </c>
      <c r="AT621" t="s">
        <v>9640</v>
      </c>
      <c r="AU621">
        <v>2006</v>
      </c>
      <c r="AV621">
        <v>111</v>
      </c>
      <c r="AW621" t="s">
        <v>9474</v>
      </c>
      <c r="AX621" t="s">
        <v>74</v>
      </c>
      <c r="AY621" t="s">
        <v>74</v>
      </c>
      <c r="AZ621" t="s">
        <v>74</v>
      </c>
      <c r="BA621" t="s">
        <v>74</v>
      </c>
      <c r="BB621" t="s">
        <v>74</v>
      </c>
      <c r="BC621" t="s">
        <v>74</v>
      </c>
      <c r="BD621" t="s">
        <v>9641</v>
      </c>
      <c r="BE621" t="s">
        <v>9642</v>
      </c>
      <c r="BF621" t="str">
        <f>HYPERLINK("http://dx.doi.org/10.1029/2004JD004958","http://dx.doi.org/10.1029/2004JD004958")</f>
        <v>http://dx.doi.org/10.1029/2004JD004958</v>
      </c>
      <c r="BG621" t="s">
        <v>74</v>
      </c>
      <c r="BH621" t="s">
        <v>74</v>
      </c>
      <c r="BI621">
        <v>14</v>
      </c>
      <c r="BJ621" t="s">
        <v>869</v>
      </c>
      <c r="BK621" t="s">
        <v>97</v>
      </c>
      <c r="BL621" t="s">
        <v>869</v>
      </c>
      <c r="BM621" t="s">
        <v>9643</v>
      </c>
      <c r="BN621" t="s">
        <v>74</v>
      </c>
      <c r="BO621" t="s">
        <v>460</v>
      </c>
      <c r="BP621" t="s">
        <v>74</v>
      </c>
      <c r="BQ621" t="s">
        <v>74</v>
      </c>
      <c r="BR621" t="s">
        <v>100</v>
      </c>
      <c r="BS621" t="s">
        <v>9644</v>
      </c>
      <c r="BT621" t="str">
        <f>HYPERLINK("https%3A%2F%2Fwww.webofscience.com%2Fwos%2Fwoscc%2Ffull-record%2FWOS:000235994500001","View Full Record in Web of Science")</f>
        <v>View Full Record in Web of Science</v>
      </c>
    </row>
    <row r="622" spans="1:72" x14ac:dyDescent="0.15">
      <c r="A622" t="s">
        <v>72</v>
      </c>
      <c r="B622" t="s">
        <v>9645</v>
      </c>
      <c r="C622" t="s">
        <v>74</v>
      </c>
      <c r="D622" t="s">
        <v>74</v>
      </c>
      <c r="E622" t="s">
        <v>74</v>
      </c>
      <c r="F622" t="s">
        <v>9645</v>
      </c>
      <c r="G622" t="s">
        <v>74</v>
      </c>
      <c r="H622" t="s">
        <v>74</v>
      </c>
      <c r="I622" t="s">
        <v>9646</v>
      </c>
      <c r="J622" t="s">
        <v>1862</v>
      </c>
      <c r="K622" t="s">
        <v>74</v>
      </c>
      <c r="L622" t="s">
        <v>74</v>
      </c>
      <c r="M622" t="s">
        <v>78</v>
      </c>
      <c r="N622" t="s">
        <v>79</v>
      </c>
      <c r="O622" t="s">
        <v>74</v>
      </c>
      <c r="P622" t="s">
        <v>74</v>
      </c>
      <c r="Q622" t="s">
        <v>74</v>
      </c>
      <c r="R622" t="s">
        <v>74</v>
      </c>
      <c r="S622" t="s">
        <v>74</v>
      </c>
      <c r="T622" t="s">
        <v>74</v>
      </c>
      <c r="U622" t="s">
        <v>9647</v>
      </c>
      <c r="V622" t="s">
        <v>9648</v>
      </c>
      <c r="W622" t="s">
        <v>9649</v>
      </c>
      <c r="X622" t="s">
        <v>9650</v>
      </c>
      <c r="Y622" t="s">
        <v>9651</v>
      </c>
      <c r="Z622" t="s">
        <v>9652</v>
      </c>
      <c r="AA622" t="s">
        <v>9653</v>
      </c>
      <c r="AB622" t="s">
        <v>9654</v>
      </c>
      <c r="AC622" t="s">
        <v>7621</v>
      </c>
      <c r="AD622" t="s">
        <v>413</v>
      </c>
      <c r="AE622" t="s">
        <v>74</v>
      </c>
      <c r="AF622" t="s">
        <v>74</v>
      </c>
      <c r="AG622">
        <v>66</v>
      </c>
      <c r="AH622">
        <v>89</v>
      </c>
      <c r="AI622">
        <v>93</v>
      </c>
      <c r="AJ622">
        <v>0</v>
      </c>
      <c r="AK622">
        <v>5</v>
      </c>
      <c r="AL622" t="s">
        <v>1757</v>
      </c>
      <c r="AM622" t="s">
        <v>88</v>
      </c>
      <c r="AN622" t="s">
        <v>1758</v>
      </c>
      <c r="AO622" t="s">
        <v>1871</v>
      </c>
      <c r="AP622" t="s">
        <v>1872</v>
      </c>
      <c r="AQ622" t="s">
        <v>74</v>
      </c>
      <c r="AR622" t="s">
        <v>1873</v>
      </c>
      <c r="AS622" t="s">
        <v>1874</v>
      </c>
      <c r="AT622" t="s">
        <v>9640</v>
      </c>
      <c r="AU622">
        <v>2006</v>
      </c>
      <c r="AV622">
        <v>111</v>
      </c>
      <c r="AW622" t="s">
        <v>9335</v>
      </c>
      <c r="AX622" t="s">
        <v>74</v>
      </c>
      <c r="AY622" t="s">
        <v>74</v>
      </c>
      <c r="AZ622" t="s">
        <v>74</v>
      </c>
      <c r="BA622" t="s">
        <v>74</v>
      </c>
      <c r="BB622" t="s">
        <v>74</v>
      </c>
      <c r="BC622" t="s">
        <v>74</v>
      </c>
      <c r="BD622" t="s">
        <v>9655</v>
      </c>
      <c r="BE622" t="s">
        <v>9656</v>
      </c>
      <c r="BF622" t="str">
        <f>HYPERLINK("http://dx.doi.org/10.1029/2005JA011206","http://dx.doi.org/10.1029/2005JA011206")</f>
        <v>http://dx.doi.org/10.1029/2005JA011206</v>
      </c>
      <c r="BG622" t="s">
        <v>74</v>
      </c>
      <c r="BH622" t="s">
        <v>74</v>
      </c>
      <c r="BI622">
        <v>15</v>
      </c>
      <c r="BJ622" t="s">
        <v>1637</v>
      </c>
      <c r="BK622" t="s">
        <v>97</v>
      </c>
      <c r="BL622" t="s">
        <v>1637</v>
      </c>
      <c r="BM622" t="s">
        <v>9657</v>
      </c>
      <c r="BN622" t="s">
        <v>74</v>
      </c>
      <c r="BO622" t="s">
        <v>460</v>
      </c>
      <c r="BP622" t="s">
        <v>74</v>
      </c>
      <c r="BQ622" t="s">
        <v>74</v>
      </c>
      <c r="BR622" t="s">
        <v>100</v>
      </c>
      <c r="BS622" t="s">
        <v>9658</v>
      </c>
      <c r="BT622" t="str">
        <f>HYPERLINK("https%3A%2F%2Fwww.webofscience.com%2Fwos%2Fwoscc%2Ffull-record%2FWOS:000235995700002","View Full Record in Web of Science")</f>
        <v>View Full Record in Web of Science</v>
      </c>
    </row>
    <row r="623" spans="1:72" x14ac:dyDescent="0.15">
      <c r="A623" t="s">
        <v>72</v>
      </c>
      <c r="B623" t="s">
        <v>9659</v>
      </c>
      <c r="C623" t="s">
        <v>74</v>
      </c>
      <c r="D623" t="s">
        <v>74</v>
      </c>
      <c r="E623" t="s">
        <v>74</v>
      </c>
      <c r="F623" t="s">
        <v>9659</v>
      </c>
      <c r="G623" t="s">
        <v>74</v>
      </c>
      <c r="H623" t="s">
        <v>74</v>
      </c>
      <c r="I623" t="s">
        <v>9660</v>
      </c>
      <c r="J623" t="s">
        <v>1772</v>
      </c>
      <c r="K623" t="s">
        <v>74</v>
      </c>
      <c r="L623" t="s">
        <v>74</v>
      </c>
      <c r="M623" t="s">
        <v>78</v>
      </c>
      <c r="N623" t="s">
        <v>79</v>
      </c>
      <c r="O623" t="s">
        <v>74</v>
      </c>
      <c r="P623" t="s">
        <v>74</v>
      </c>
      <c r="Q623" t="s">
        <v>74</v>
      </c>
      <c r="R623" t="s">
        <v>74</v>
      </c>
      <c r="S623" t="s">
        <v>74</v>
      </c>
      <c r="T623" t="s">
        <v>74</v>
      </c>
      <c r="U623" t="s">
        <v>9661</v>
      </c>
      <c r="V623" t="s">
        <v>9662</v>
      </c>
      <c r="W623" t="s">
        <v>9663</v>
      </c>
      <c r="X623" t="s">
        <v>9664</v>
      </c>
      <c r="Y623" t="s">
        <v>9665</v>
      </c>
      <c r="Z623" t="s">
        <v>9666</v>
      </c>
      <c r="AA623" t="s">
        <v>9667</v>
      </c>
      <c r="AB623" t="s">
        <v>9668</v>
      </c>
      <c r="AC623" t="s">
        <v>7562</v>
      </c>
      <c r="AD623" t="s">
        <v>1328</v>
      </c>
      <c r="AE623" t="s">
        <v>74</v>
      </c>
      <c r="AF623" t="s">
        <v>74</v>
      </c>
      <c r="AG623">
        <v>35</v>
      </c>
      <c r="AH623">
        <v>84</v>
      </c>
      <c r="AI623">
        <v>89</v>
      </c>
      <c r="AJ623">
        <v>1</v>
      </c>
      <c r="AK623">
        <v>33</v>
      </c>
      <c r="AL623" t="s">
        <v>1757</v>
      </c>
      <c r="AM623" t="s">
        <v>88</v>
      </c>
      <c r="AN623" t="s">
        <v>1758</v>
      </c>
      <c r="AO623" t="s">
        <v>1779</v>
      </c>
      <c r="AP623" t="s">
        <v>1780</v>
      </c>
      <c r="AQ623" t="s">
        <v>74</v>
      </c>
      <c r="AR623" t="s">
        <v>1781</v>
      </c>
      <c r="AS623" t="s">
        <v>1782</v>
      </c>
      <c r="AT623" t="s">
        <v>9669</v>
      </c>
      <c r="AU623">
        <v>2006</v>
      </c>
      <c r="AV623">
        <v>111</v>
      </c>
      <c r="AW623" t="s">
        <v>9474</v>
      </c>
      <c r="AX623" t="s">
        <v>74</v>
      </c>
      <c r="AY623" t="s">
        <v>74</v>
      </c>
      <c r="AZ623" t="s">
        <v>74</v>
      </c>
      <c r="BA623" t="s">
        <v>74</v>
      </c>
      <c r="BB623" t="s">
        <v>74</v>
      </c>
      <c r="BC623" t="s">
        <v>74</v>
      </c>
      <c r="BD623" t="s">
        <v>9670</v>
      </c>
      <c r="BE623" t="s">
        <v>9671</v>
      </c>
      <c r="BF623" t="str">
        <f>HYPERLINK("http://dx.doi.org/10.1029/2005JD006459","http://dx.doi.org/10.1029/2005JD006459")</f>
        <v>http://dx.doi.org/10.1029/2005JD006459</v>
      </c>
      <c r="BG623" t="s">
        <v>74</v>
      </c>
      <c r="BH623" t="s">
        <v>74</v>
      </c>
      <c r="BI623">
        <v>11</v>
      </c>
      <c r="BJ623" t="s">
        <v>869</v>
      </c>
      <c r="BK623" t="s">
        <v>97</v>
      </c>
      <c r="BL623" t="s">
        <v>869</v>
      </c>
      <c r="BM623" t="s">
        <v>9672</v>
      </c>
      <c r="BN623" t="s">
        <v>74</v>
      </c>
      <c r="BO623" t="s">
        <v>460</v>
      </c>
      <c r="BP623" t="s">
        <v>74</v>
      </c>
      <c r="BQ623" t="s">
        <v>74</v>
      </c>
      <c r="BR623" t="s">
        <v>100</v>
      </c>
      <c r="BS623" t="s">
        <v>9673</v>
      </c>
      <c r="BT623" t="str">
        <f>HYPERLINK("https%3A%2F%2Fwww.webofscience.com%2Fwos%2Fwoscc%2Ffull-record%2FWOS:000235994400002","View Full Record in Web of Science")</f>
        <v>View Full Record in Web of Science</v>
      </c>
    </row>
    <row r="624" spans="1:72" x14ac:dyDescent="0.15">
      <c r="A624" t="s">
        <v>72</v>
      </c>
      <c r="B624" t="s">
        <v>9674</v>
      </c>
      <c r="C624" t="s">
        <v>74</v>
      </c>
      <c r="D624" t="s">
        <v>74</v>
      </c>
      <c r="E624" t="s">
        <v>74</v>
      </c>
      <c r="F624" t="s">
        <v>9674</v>
      </c>
      <c r="G624" t="s">
        <v>74</v>
      </c>
      <c r="H624" t="s">
        <v>74</v>
      </c>
      <c r="I624" t="s">
        <v>9675</v>
      </c>
      <c r="J624" t="s">
        <v>9676</v>
      </c>
      <c r="K624" t="s">
        <v>74</v>
      </c>
      <c r="L624" t="s">
        <v>74</v>
      </c>
      <c r="M624" t="s">
        <v>78</v>
      </c>
      <c r="N624" t="s">
        <v>552</v>
      </c>
      <c r="O624" t="s">
        <v>74</v>
      </c>
      <c r="P624" t="s">
        <v>74</v>
      </c>
      <c r="Q624" t="s">
        <v>74</v>
      </c>
      <c r="R624" t="s">
        <v>74</v>
      </c>
      <c r="S624" t="s">
        <v>74</v>
      </c>
      <c r="T624" t="s">
        <v>74</v>
      </c>
      <c r="U624" t="s">
        <v>9677</v>
      </c>
      <c r="V624" t="s">
        <v>74</v>
      </c>
      <c r="W624" t="s">
        <v>9678</v>
      </c>
      <c r="X624" t="s">
        <v>74</v>
      </c>
      <c r="Y624" t="s">
        <v>9679</v>
      </c>
      <c r="Z624" t="s">
        <v>9680</v>
      </c>
      <c r="AA624" t="s">
        <v>74</v>
      </c>
      <c r="AB624" t="s">
        <v>74</v>
      </c>
      <c r="AC624" t="s">
        <v>74</v>
      </c>
      <c r="AD624" t="s">
        <v>74</v>
      </c>
      <c r="AE624" t="s">
        <v>74</v>
      </c>
      <c r="AF624" t="s">
        <v>74</v>
      </c>
      <c r="AG624">
        <v>55</v>
      </c>
      <c r="AH624">
        <v>1</v>
      </c>
      <c r="AI624">
        <v>1</v>
      </c>
      <c r="AJ624">
        <v>0</v>
      </c>
      <c r="AK624">
        <v>12</v>
      </c>
      <c r="AL624" t="s">
        <v>9681</v>
      </c>
      <c r="AM624" t="s">
        <v>6925</v>
      </c>
      <c r="AN624" t="s">
        <v>9682</v>
      </c>
      <c r="AO624" t="s">
        <v>9683</v>
      </c>
      <c r="AP624" t="s">
        <v>9684</v>
      </c>
      <c r="AQ624" t="s">
        <v>74</v>
      </c>
      <c r="AR624" t="s">
        <v>9685</v>
      </c>
      <c r="AS624" t="s">
        <v>9686</v>
      </c>
      <c r="AT624" t="s">
        <v>9687</v>
      </c>
      <c r="AU624">
        <v>2006</v>
      </c>
      <c r="AV624">
        <v>90</v>
      </c>
      <c r="AW624">
        <v>3</v>
      </c>
      <c r="AX624" t="s">
        <v>74</v>
      </c>
      <c r="AY624" t="s">
        <v>74</v>
      </c>
      <c r="AZ624" t="s">
        <v>74</v>
      </c>
      <c r="BA624" t="s">
        <v>74</v>
      </c>
      <c r="BB624">
        <v>409</v>
      </c>
      <c r="BC624">
        <v>412</v>
      </c>
      <c r="BD624" t="s">
        <v>74</v>
      </c>
      <c r="BE624" t="s">
        <v>9688</v>
      </c>
      <c r="BF624" t="str">
        <f>HYPERLINK("http://dx.doi.org/10.1306/11030505107","http://dx.doi.org/10.1306/11030505107")</f>
        <v>http://dx.doi.org/10.1306/11030505107</v>
      </c>
      <c r="BG624" t="s">
        <v>74</v>
      </c>
      <c r="BH624" t="s">
        <v>74</v>
      </c>
      <c r="BI624">
        <v>4</v>
      </c>
      <c r="BJ624" t="s">
        <v>527</v>
      </c>
      <c r="BK624" t="s">
        <v>97</v>
      </c>
      <c r="BL624" t="s">
        <v>528</v>
      </c>
      <c r="BM624" t="s">
        <v>9689</v>
      </c>
      <c r="BN624" t="s">
        <v>74</v>
      </c>
      <c r="BO624" t="s">
        <v>74</v>
      </c>
      <c r="BP624" t="s">
        <v>74</v>
      </c>
      <c r="BQ624" t="s">
        <v>74</v>
      </c>
      <c r="BR624" t="s">
        <v>100</v>
      </c>
      <c r="BS624" t="s">
        <v>9690</v>
      </c>
      <c r="BT624" t="str">
        <f>HYPERLINK("https%3A%2F%2Fwww.webofscience.com%2Fwos%2Fwoscc%2Ffull-record%2FWOS:000235963900007","View Full Record in Web of Science")</f>
        <v>View Full Record in Web of Science</v>
      </c>
    </row>
    <row r="625" spans="1:72" x14ac:dyDescent="0.15">
      <c r="A625" t="s">
        <v>72</v>
      </c>
      <c r="B625" t="s">
        <v>9691</v>
      </c>
      <c r="C625" t="s">
        <v>74</v>
      </c>
      <c r="D625" t="s">
        <v>74</v>
      </c>
      <c r="E625" t="s">
        <v>74</v>
      </c>
      <c r="F625" t="s">
        <v>9691</v>
      </c>
      <c r="G625" t="s">
        <v>74</v>
      </c>
      <c r="H625" t="s">
        <v>74</v>
      </c>
      <c r="I625" t="s">
        <v>9692</v>
      </c>
      <c r="J625" t="s">
        <v>9693</v>
      </c>
      <c r="K625" t="s">
        <v>74</v>
      </c>
      <c r="L625" t="s">
        <v>74</v>
      </c>
      <c r="M625" t="s">
        <v>78</v>
      </c>
      <c r="N625" t="s">
        <v>511</v>
      </c>
      <c r="O625" t="s">
        <v>74</v>
      </c>
      <c r="P625" t="s">
        <v>74</v>
      </c>
      <c r="Q625" t="s">
        <v>74</v>
      </c>
      <c r="R625" t="s">
        <v>74</v>
      </c>
      <c r="S625" t="s">
        <v>74</v>
      </c>
      <c r="T625" t="s">
        <v>9694</v>
      </c>
      <c r="U625" t="s">
        <v>9695</v>
      </c>
      <c r="V625" t="s">
        <v>9696</v>
      </c>
      <c r="W625" t="s">
        <v>9697</v>
      </c>
      <c r="X625" t="s">
        <v>9698</v>
      </c>
      <c r="Y625" t="s">
        <v>9699</v>
      </c>
      <c r="Z625" t="s">
        <v>9700</v>
      </c>
      <c r="AA625" t="s">
        <v>74</v>
      </c>
      <c r="AB625" t="s">
        <v>74</v>
      </c>
      <c r="AC625" t="s">
        <v>74</v>
      </c>
      <c r="AD625" t="s">
        <v>74</v>
      </c>
      <c r="AE625" t="s">
        <v>74</v>
      </c>
      <c r="AF625" t="s">
        <v>74</v>
      </c>
      <c r="AG625">
        <v>75</v>
      </c>
      <c r="AH625">
        <v>29</v>
      </c>
      <c r="AI625">
        <v>37</v>
      </c>
      <c r="AJ625">
        <v>1</v>
      </c>
      <c r="AK625">
        <v>23</v>
      </c>
      <c r="AL625" t="s">
        <v>9701</v>
      </c>
      <c r="AM625" t="s">
        <v>9702</v>
      </c>
      <c r="AN625" t="s">
        <v>9703</v>
      </c>
      <c r="AO625" t="s">
        <v>9704</v>
      </c>
      <c r="AP625" t="s">
        <v>9705</v>
      </c>
      <c r="AQ625" t="s">
        <v>74</v>
      </c>
      <c r="AR625" t="s">
        <v>9706</v>
      </c>
      <c r="AS625" t="s">
        <v>9707</v>
      </c>
      <c r="AT625" t="s">
        <v>9687</v>
      </c>
      <c r="AU625">
        <v>2006</v>
      </c>
      <c r="AV625">
        <v>51</v>
      </c>
      <c r="AW625">
        <v>1</v>
      </c>
      <c r="AX625" t="s">
        <v>74</v>
      </c>
      <c r="AY625" t="s">
        <v>74</v>
      </c>
      <c r="AZ625" t="s">
        <v>74</v>
      </c>
      <c r="BA625" t="s">
        <v>74</v>
      </c>
      <c r="BB625">
        <v>26</v>
      </c>
      <c r="BC625">
        <v>35</v>
      </c>
      <c r="BD625" t="s">
        <v>74</v>
      </c>
      <c r="BE625" t="s">
        <v>9708</v>
      </c>
      <c r="BF625" t="str">
        <f>HYPERLINK("http://dx.doi.org/10.2478/s11686-006-0003-y","http://dx.doi.org/10.2478/s11686-006-0003-y")</f>
        <v>http://dx.doi.org/10.2478/s11686-006-0003-y</v>
      </c>
      <c r="BG625" t="s">
        <v>74</v>
      </c>
      <c r="BH625" t="s">
        <v>74</v>
      </c>
      <c r="BI625">
        <v>10</v>
      </c>
      <c r="BJ625" t="s">
        <v>9709</v>
      </c>
      <c r="BK625" t="s">
        <v>97</v>
      </c>
      <c r="BL625" t="s">
        <v>9709</v>
      </c>
      <c r="BM625" t="s">
        <v>9710</v>
      </c>
      <c r="BN625" t="s">
        <v>74</v>
      </c>
      <c r="BO625" t="s">
        <v>901</v>
      </c>
      <c r="BP625" t="s">
        <v>74</v>
      </c>
      <c r="BQ625" t="s">
        <v>74</v>
      </c>
      <c r="BR625" t="s">
        <v>100</v>
      </c>
      <c r="BS625" t="s">
        <v>9711</v>
      </c>
      <c r="BT625" t="str">
        <f>HYPERLINK("https%3A%2F%2Fwww.webofscience.com%2Fwos%2Fwoscc%2Ffull-record%2FWOS:000236423300003","View Full Record in Web of Science")</f>
        <v>View Full Record in Web of Science</v>
      </c>
    </row>
    <row r="626" spans="1:72" x14ac:dyDescent="0.15">
      <c r="A626" t="s">
        <v>72</v>
      </c>
      <c r="B626" t="s">
        <v>9712</v>
      </c>
      <c r="C626" t="s">
        <v>74</v>
      </c>
      <c r="D626" t="s">
        <v>74</v>
      </c>
      <c r="E626" t="s">
        <v>74</v>
      </c>
      <c r="F626" t="s">
        <v>9712</v>
      </c>
      <c r="G626" t="s">
        <v>74</v>
      </c>
      <c r="H626" t="s">
        <v>74</v>
      </c>
      <c r="I626" t="s">
        <v>9713</v>
      </c>
      <c r="J626" t="s">
        <v>9714</v>
      </c>
      <c r="K626" t="s">
        <v>74</v>
      </c>
      <c r="L626" t="s">
        <v>74</v>
      </c>
      <c r="M626" t="s">
        <v>78</v>
      </c>
      <c r="N626" t="s">
        <v>1226</v>
      </c>
      <c r="O626" t="s">
        <v>9715</v>
      </c>
      <c r="P626" t="s">
        <v>9716</v>
      </c>
      <c r="Q626" t="s">
        <v>9717</v>
      </c>
      <c r="R626" t="s">
        <v>74</v>
      </c>
      <c r="S626" t="s">
        <v>74</v>
      </c>
      <c r="T626" t="s">
        <v>74</v>
      </c>
      <c r="U626" t="s">
        <v>9718</v>
      </c>
      <c r="V626" t="s">
        <v>9719</v>
      </c>
      <c r="W626" t="s">
        <v>9720</v>
      </c>
      <c r="X626" t="s">
        <v>9721</v>
      </c>
      <c r="Y626" t="s">
        <v>9722</v>
      </c>
      <c r="Z626" t="s">
        <v>9723</v>
      </c>
      <c r="AA626" t="s">
        <v>9724</v>
      </c>
      <c r="AB626" t="s">
        <v>9725</v>
      </c>
      <c r="AC626" t="s">
        <v>74</v>
      </c>
      <c r="AD626" t="s">
        <v>74</v>
      </c>
      <c r="AE626" t="s">
        <v>74</v>
      </c>
      <c r="AF626" t="s">
        <v>74</v>
      </c>
      <c r="AG626">
        <v>16</v>
      </c>
      <c r="AH626">
        <v>18</v>
      </c>
      <c r="AI626">
        <v>18</v>
      </c>
      <c r="AJ626">
        <v>0</v>
      </c>
      <c r="AK626">
        <v>8</v>
      </c>
      <c r="AL626" t="s">
        <v>9726</v>
      </c>
      <c r="AM626" t="s">
        <v>9727</v>
      </c>
      <c r="AN626" t="s">
        <v>9728</v>
      </c>
      <c r="AO626" t="s">
        <v>9729</v>
      </c>
      <c r="AP626" t="s">
        <v>74</v>
      </c>
      <c r="AQ626" t="s">
        <v>74</v>
      </c>
      <c r="AR626" t="s">
        <v>9730</v>
      </c>
      <c r="AS626" t="s">
        <v>9731</v>
      </c>
      <c r="AT626" t="s">
        <v>9687</v>
      </c>
      <c r="AU626">
        <v>2006</v>
      </c>
      <c r="AV626">
        <v>109</v>
      </c>
      <c r="AW626">
        <v>3</v>
      </c>
      <c r="AX626" t="s">
        <v>74</v>
      </c>
      <c r="AY626" t="s">
        <v>74</v>
      </c>
      <c r="AZ626" t="s">
        <v>74</v>
      </c>
      <c r="BA626" t="s">
        <v>74</v>
      </c>
      <c r="BB626">
        <v>411</v>
      </c>
      <c r="BC626">
        <v>416</v>
      </c>
      <c r="BD626" t="s">
        <v>74</v>
      </c>
      <c r="BE626" t="s">
        <v>9732</v>
      </c>
      <c r="BF626" t="str">
        <f>HYPERLINK("http://dx.doi.org/10.12693/APhysPolA.109.411","http://dx.doi.org/10.12693/APhysPolA.109.411")</f>
        <v>http://dx.doi.org/10.12693/APhysPolA.109.411</v>
      </c>
      <c r="BG626" t="s">
        <v>74</v>
      </c>
      <c r="BH626" t="s">
        <v>74</v>
      </c>
      <c r="BI626">
        <v>6</v>
      </c>
      <c r="BJ626" t="s">
        <v>6279</v>
      </c>
      <c r="BK626" t="s">
        <v>655</v>
      </c>
      <c r="BL626" t="s">
        <v>2938</v>
      </c>
      <c r="BM626" t="s">
        <v>9733</v>
      </c>
      <c r="BN626" t="s">
        <v>74</v>
      </c>
      <c r="BO626" t="s">
        <v>1903</v>
      </c>
      <c r="BP626" t="s">
        <v>74</v>
      </c>
      <c r="BQ626" t="s">
        <v>74</v>
      </c>
      <c r="BR626" t="s">
        <v>100</v>
      </c>
      <c r="BS626" t="s">
        <v>9734</v>
      </c>
      <c r="BT626" t="str">
        <f>HYPERLINK("https%3A%2F%2Fwww.webofscience.com%2Fwos%2Fwoscc%2Ffull-record%2FWOS:000236299200025","View Full Record in Web of Science")</f>
        <v>View Full Record in Web of Science</v>
      </c>
    </row>
    <row r="627" spans="1:72" x14ac:dyDescent="0.15">
      <c r="A627" t="s">
        <v>72</v>
      </c>
      <c r="B627" t="s">
        <v>9735</v>
      </c>
      <c r="C627" t="s">
        <v>74</v>
      </c>
      <c r="D627" t="s">
        <v>74</v>
      </c>
      <c r="E627" t="s">
        <v>74</v>
      </c>
      <c r="F627" t="s">
        <v>9735</v>
      </c>
      <c r="G627" t="s">
        <v>74</v>
      </c>
      <c r="H627" t="s">
        <v>74</v>
      </c>
      <c r="I627" t="s">
        <v>9736</v>
      </c>
      <c r="J627" t="s">
        <v>4486</v>
      </c>
      <c r="K627" t="s">
        <v>74</v>
      </c>
      <c r="L627" t="s">
        <v>74</v>
      </c>
      <c r="M627" t="s">
        <v>78</v>
      </c>
      <c r="N627" t="s">
        <v>552</v>
      </c>
      <c r="O627" t="s">
        <v>74</v>
      </c>
      <c r="P627" t="s">
        <v>74</v>
      </c>
      <c r="Q627" t="s">
        <v>74</v>
      </c>
      <c r="R627" t="s">
        <v>74</v>
      </c>
      <c r="S627" t="s">
        <v>74</v>
      </c>
      <c r="T627" t="s">
        <v>74</v>
      </c>
      <c r="U627" t="s">
        <v>74</v>
      </c>
      <c r="V627" t="s">
        <v>74</v>
      </c>
      <c r="W627" t="s">
        <v>74</v>
      </c>
      <c r="X627" t="s">
        <v>74</v>
      </c>
      <c r="Y627" t="s">
        <v>74</v>
      </c>
      <c r="Z627" t="s">
        <v>74</v>
      </c>
      <c r="AA627" t="s">
        <v>74</v>
      </c>
      <c r="AB627" t="s">
        <v>74</v>
      </c>
      <c r="AC627" t="s">
        <v>74</v>
      </c>
      <c r="AD627" t="s">
        <v>74</v>
      </c>
      <c r="AE627" t="s">
        <v>74</v>
      </c>
      <c r="AF627" t="s">
        <v>74</v>
      </c>
      <c r="AG627">
        <v>0</v>
      </c>
      <c r="AH627">
        <v>3</v>
      </c>
      <c r="AI627">
        <v>3</v>
      </c>
      <c r="AJ627">
        <v>0</v>
      </c>
      <c r="AK627">
        <v>1</v>
      </c>
      <c r="AL627" t="s">
        <v>1139</v>
      </c>
      <c r="AM627" t="s">
        <v>476</v>
      </c>
      <c r="AN627" t="s">
        <v>1140</v>
      </c>
      <c r="AO627" t="s">
        <v>4490</v>
      </c>
      <c r="AP627" t="s">
        <v>4519</v>
      </c>
      <c r="AQ627" t="s">
        <v>74</v>
      </c>
      <c r="AR627" t="s">
        <v>4491</v>
      </c>
      <c r="AS627" t="s">
        <v>4492</v>
      </c>
      <c r="AT627" t="s">
        <v>9687</v>
      </c>
      <c r="AU627">
        <v>2006</v>
      </c>
      <c r="AV627">
        <v>18</v>
      </c>
      <c r="AW627">
        <v>1</v>
      </c>
      <c r="AX627" t="s">
        <v>74</v>
      </c>
      <c r="AY627" t="s">
        <v>74</v>
      </c>
      <c r="AZ627" t="s">
        <v>74</v>
      </c>
      <c r="BA627" t="s">
        <v>74</v>
      </c>
      <c r="BB627">
        <v>1</v>
      </c>
      <c r="BC627">
        <v>1</v>
      </c>
      <c r="BD627" t="s">
        <v>74</v>
      </c>
      <c r="BE627" t="s">
        <v>9737</v>
      </c>
      <c r="BF627" t="str">
        <f>HYPERLINK("http://dx.doi.org/10.1017/S0954102006000149","http://dx.doi.org/10.1017/S0954102006000149")</f>
        <v>http://dx.doi.org/10.1017/S0954102006000149</v>
      </c>
      <c r="BG627" t="s">
        <v>74</v>
      </c>
      <c r="BH627" t="s">
        <v>74</v>
      </c>
      <c r="BI627">
        <v>1</v>
      </c>
      <c r="BJ627" t="s">
        <v>4494</v>
      </c>
      <c r="BK627" t="s">
        <v>97</v>
      </c>
      <c r="BL627" t="s">
        <v>4495</v>
      </c>
      <c r="BM627" t="s">
        <v>9738</v>
      </c>
      <c r="BN627" t="s">
        <v>74</v>
      </c>
      <c r="BO627" t="s">
        <v>460</v>
      </c>
      <c r="BP627" t="s">
        <v>74</v>
      </c>
      <c r="BQ627" t="s">
        <v>74</v>
      </c>
      <c r="BR627" t="s">
        <v>100</v>
      </c>
      <c r="BS627" t="s">
        <v>9739</v>
      </c>
      <c r="BT627" t="str">
        <f>HYPERLINK("https%3A%2F%2Fwww.webofscience.com%2Fwos%2Fwoscc%2Ffull-record%2FWOS:000235923600001","View Full Record in Web of Science")</f>
        <v>View Full Record in Web of Science</v>
      </c>
    </row>
    <row r="628" spans="1:72" x14ac:dyDescent="0.15">
      <c r="A628" t="s">
        <v>72</v>
      </c>
      <c r="B628" t="s">
        <v>9740</v>
      </c>
      <c r="C628" t="s">
        <v>74</v>
      </c>
      <c r="D628" t="s">
        <v>74</v>
      </c>
      <c r="E628" t="s">
        <v>74</v>
      </c>
      <c r="F628" t="s">
        <v>9740</v>
      </c>
      <c r="G628" t="s">
        <v>74</v>
      </c>
      <c r="H628" t="s">
        <v>74</v>
      </c>
      <c r="I628" t="s">
        <v>9741</v>
      </c>
      <c r="J628" t="s">
        <v>4486</v>
      </c>
      <c r="K628" t="s">
        <v>74</v>
      </c>
      <c r="L628" t="s">
        <v>74</v>
      </c>
      <c r="M628" t="s">
        <v>78</v>
      </c>
      <c r="N628" t="s">
        <v>511</v>
      </c>
      <c r="O628" t="s">
        <v>74</v>
      </c>
      <c r="P628" t="s">
        <v>74</v>
      </c>
      <c r="Q628" t="s">
        <v>74</v>
      </c>
      <c r="R628" t="s">
        <v>74</v>
      </c>
      <c r="S628" t="s">
        <v>74</v>
      </c>
      <c r="T628" t="s">
        <v>9742</v>
      </c>
      <c r="U628" t="s">
        <v>9743</v>
      </c>
      <c r="V628" t="s">
        <v>9744</v>
      </c>
      <c r="W628" t="s">
        <v>9745</v>
      </c>
      <c r="X628" t="s">
        <v>9746</v>
      </c>
      <c r="Y628" t="s">
        <v>9747</v>
      </c>
      <c r="Z628" t="s">
        <v>9748</v>
      </c>
      <c r="AA628" t="s">
        <v>74</v>
      </c>
      <c r="AB628" t="s">
        <v>74</v>
      </c>
      <c r="AC628" t="s">
        <v>74</v>
      </c>
      <c r="AD628" t="s">
        <v>74</v>
      </c>
      <c r="AE628" t="s">
        <v>74</v>
      </c>
      <c r="AF628" t="s">
        <v>74</v>
      </c>
      <c r="AG628">
        <v>138</v>
      </c>
      <c r="AH628">
        <v>43</v>
      </c>
      <c r="AI628">
        <v>48</v>
      </c>
      <c r="AJ628">
        <v>1</v>
      </c>
      <c r="AK628">
        <v>29</v>
      </c>
      <c r="AL628" t="s">
        <v>1139</v>
      </c>
      <c r="AM628" t="s">
        <v>476</v>
      </c>
      <c r="AN628" t="s">
        <v>1140</v>
      </c>
      <c r="AO628" t="s">
        <v>4490</v>
      </c>
      <c r="AP628" t="s">
        <v>4519</v>
      </c>
      <c r="AQ628" t="s">
        <v>74</v>
      </c>
      <c r="AR628" t="s">
        <v>4491</v>
      </c>
      <c r="AS628" t="s">
        <v>4492</v>
      </c>
      <c r="AT628" t="s">
        <v>9687</v>
      </c>
      <c r="AU628">
        <v>2006</v>
      </c>
      <c r="AV628">
        <v>18</v>
      </c>
      <c r="AW628">
        <v>1</v>
      </c>
      <c r="AX628" t="s">
        <v>74</v>
      </c>
      <c r="AY628" t="s">
        <v>74</v>
      </c>
      <c r="AZ628" t="s">
        <v>74</v>
      </c>
      <c r="BA628" t="s">
        <v>74</v>
      </c>
      <c r="BB628">
        <v>3</v>
      </c>
      <c r="BC628">
        <v>14</v>
      </c>
      <c r="BD628" t="s">
        <v>74</v>
      </c>
      <c r="BE628" t="s">
        <v>9749</v>
      </c>
      <c r="BF628" t="str">
        <f>HYPERLINK("http://dx.doi.org/10.1017/S0954102006000010","http://dx.doi.org/10.1017/S0954102006000010")</f>
        <v>http://dx.doi.org/10.1017/S0954102006000010</v>
      </c>
      <c r="BG628" t="s">
        <v>74</v>
      </c>
      <c r="BH628" t="s">
        <v>74</v>
      </c>
      <c r="BI628">
        <v>12</v>
      </c>
      <c r="BJ628" t="s">
        <v>4494</v>
      </c>
      <c r="BK628" t="s">
        <v>97</v>
      </c>
      <c r="BL628" t="s">
        <v>4495</v>
      </c>
      <c r="BM628" t="s">
        <v>9738</v>
      </c>
      <c r="BN628" t="s">
        <v>74</v>
      </c>
      <c r="BO628" t="s">
        <v>99</v>
      </c>
      <c r="BP628" t="s">
        <v>74</v>
      </c>
      <c r="BQ628" t="s">
        <v>74</v>
      </c>
      <c r="BR628" t="s">
        <v>100</v>
      </c>
      <c r="BS628" t="s">
        <v>9750</v>
      </c>
      <c r="BT628" t="str">
        <f>HYPERLINK("https%3A%2F%2Fwww.webofscience.com%2Fwos%2Fwoscc%2Ffull-record%2FWOS:000235923600002","View Full Record in Web of Science")</f>
        <v>View Full Record in Web of Science</v>
      </c>
    </row>
    <row r="629" spans="1:72" x14ac:dyDescent="0.15">
      <c r="A629" t="s">
        <v>72</v>
      </c>
      <c r="B629" t="s">
        <v>9751</v>
      </c>
      <c r="C629" t="s">
        <v>74</v>
      </c>
      <c r="D629" t="s">
        <v>74</v>
      </c>
      <c r="E629" t="s">
        <v>74</v>
      </c>
      <c r="F629" t="s">
        <v>9751</v>
      </c>
      <c r="G629" t="s">
        <v>74</v>
      </c>
      <c r="H629" t="s">
        <v>74</v>
      </c>
      <c r="I629" t="s">
        <v>9752</v>
      </c>
      <c r="J629" t="s">
        <v>4486</v>
      </c>
      <c r="K629" t="s">
        <v>74</v>
      </c>
      <c r="L629" t="s">
        <v>74</v>
      </c>
      <c r="M629" t="s">
        <v>78</v>
      </c>
      <c r="N629" t="s">
        <v>79</v>
      </c>
      <c r="O629" t="s">
        <v>74</v>
      </c>
      <c r="P629" t="s">
        <v>74</v>
      </c>
      <c r="Q629" t="s">
        <v>74</v>
      </c>
      <c r="R629" t="s">
        <v>74</v>
      </c>
      <c r="S629" t="s">
        <v>74</v>
      </c>
      <c r="T629" t="s">
        <v>9753</v>
      </c>
      <c r="U629" t="s">
        <v>9754</v>
      </c>
      <c r="V629" t="s">
        <v>9755</v>
      </c>
      <c r="W629" t="s">
        <v>9756</v>
      </c>
      <c r="X629" t="s">
        <v>9757</v>
      </c>
      <c r="Y629" t="s">
        <v>9758</v>
      </c>
      <c r="Z629" t="s">
        <v>9759</v>
      </c>
      <c r="AA629" t="s">
        <v>9760</v>
      </c>
      <c r="AB629" t="s">
        <v>9761</v>
      </c>
      <c r="AC629" t="s">
        <v>74</v>
      </c>
      <c r="AD629" t="s">
        <v>74</v>
      </c>
      <c r="AE629" t="s">
        <v>74</v>
      </c>
      <c r="AF629" t="s">
        <v>74</v>
      </c>
      <c r="AG629">
        <v>65</v>
      </c>
      <c r="AH629">
        <v>13</v>
      </c>
      <c r="AI629">
        <v>14</v>
      </c>
      <c r="AJ629">
        <v>0</v>
      </c>
      <c r="AK629">
        <v>5</v>
      </c>
      <c r="AL629" t="s">
        <v>1139</v>
      </c>
      <c r="AM629" t="s">
        <v>476</v>
      </c>
      <c r="AN629" t="s">
        <v>1140</v>
      </c>
      <c r="AO629" t="s">
        <v>4490</v>
      </c>
      <c r="AP629" t="s">
        <v>4519</v>
      </c>
      <c r="AQ629" t="s">
        <v>74</v>
      </c>
      <c r="AR629" t="s">
        <v>4491</v>
      </c>
      <c r="AS629" t="s">
        <v>4492</v>
      </c>
      <c r="AT629" t="s">
        <v>9687</v>
      </c>
      <c r="AU629">
        <v>2006</v>
      </c>
      <c r="AV629">
        <v>18</v>
      </c>
      <c r="AW629">
        <v>1</v>
      </c>
      <c r="AX629" t="s">
        <v>74</v>
      </c>
      <c r="AY629" t="s">
        <v>74</v>
      </c>
      <c r="AZ629" t="s">
        <v>74</v>
      </c>
      <c r="BA629" t="s">
        <v>74</v>
      </c>
      <c r="BB629">
        <v>15</v>
      </c>
      <c r="BC629">
        <v>22</v>
      </c>
      <c r="BD629" t="s">
        <v>74</v>
      </c>
      <c r="BE629" t="s">
        <v>9762</v>
      </c>
      <c r="BF629" t="str">
        <f>HYPERLINK("http://dx.doi.org/10.1017/S0954102006000022","http://dx.doi.org/10.1017/S0954102006000022")</f>
        <v>http://dx.doi.org/10.1017/S0954102006000022</v>
      </c>
      <c r="BG629" t="s">
        <v>74</v>
      </c>
      <c r="BH629" t="s">
        <v>74</v>
      </c>
      <c r="BI629">
        <v>8</v>
      </c>
      <c r="BJ629" t="s">
        <v>4494</v>
      </c>
      <c r="BK629" t="s">
        <v>97</v>
      </c>
      <c r="BL629" t="s">
        <v>4495</v>
      </c>
      <c r="BM629" t="s">
        <v>9738</v>
      </c>
      <c r="BN629" t="s">
        <v>74</v>
      </c>
      <c r="BO629" t="s">
        <v>74</v>
      </c>
      <c r="BP629" t="s">
        <v>74</v>
      </c>
      <c r="BQ629" t="s">
        <v>74</v>
      </c>
      <c r="BR629" t="s">
        <v>100</v>
      </c>
      <c r="BS629" t="s">
        <v>9763</v>
      </c>
      <c r="BT629" t="str">
        <f>HYPERLINK("https%3A%2F%2Fwww.webofscience.com%2Fwos%2Fwoscc%2Ffull-record%2FWOS:000235923600003","View Full Record in Web of Science")</f>
        <v>View Full Record in Web of Science</v>
      </c>
    </row>
    <row r="630" spans="1:72" x14ac:dyDescent="0.15">
      <c r="A630" t="s">
        <v>72</v>
      </c>
      <c r="B630" t="s">
        <v>9764</v>
      </c>
      <c r="C630" t="s">
        <v>74</v>
      </c>
      <c r="D630" t="s">
        <v>74</v>
      </c>
      <c r="E630" t="s">
        <v>74</v>
      </c>
      <c r="F630" t="s">
        <v>9764</v>
      </c>
      <c r="G630" t="s">
        <v>74</v>
      </c>
      <c r="H630" t="s">
        <v>74</v>
      </c>
      <c r="I630" t="s">
        <v>9765</v>
      </c>
      <c r="J630" t="s">
        <v>4486</v>
      </c>
      <c r="K630" t="s">
        <v>74</v>
      </c>
      <c r="L630" t="s">
        <v>74</v>
      </c>
      <c r="M630" t="s">
        <v>78</v>
      </c>
      <c r="N630" t="s">
        <v>79</v>
      </c>
      <c r="O630" t="s">
        <v>74</v>
      </c>
      <c r="P630" t="s">
        <v>74</v>
      </c>
      <c r="Q630" t="s">
        <v>74</v>
      </c>
      <c r="R630" t="s">
        <v>74</v>
      </c>
      <c r="S630" t="s">
        <v>74</v>
      </c>
      <c r="T630" t="s">
        <v>9766</v>
      </c>
      <c r="U630" t="s">
        <v>9767</v>
      </c>
      <c r="V630" t="s">
        <v>9768</v>
      </c>
      <c r="W630" t="s">
        <v>9769</v>
      </c>
      <c r="X630" t="s">
        <v>9770</v>
      </c>
      <c r="Y630" t="s">
        <v>9771</v>
      </c>
      <c r="Z630" t="s">
        <v>9772</v>
      </c>
      <c r="AA630" t="s">
        <v>9773</v>
      </c>
      <c r="AB630" t="s">
        <v>9774</v>
      </c>
      <c r="AC630" t="s">
        <v>74</v>
      </c>
      <c r="AD630" t="s">
        <v>74</v>
      </c>
      <c r="AE630" t="s">
        <v>74</v>
      </c>
      <c r="AF630" t="s">
        <v>74</v>
      </c>
      <c r="AG630">
        <v>64</v>
      </c>
      <c r="AH630">
        <v>22</v>
      </c>
      <c r="AI630">
        <v>24</v>
      </c>
      <c r="AJ630">
        <v>0</v>
      </c>
      <c r="AK630">
        <v>16</v>
      </c>
      <c r="AL630" t="s">
        <v>1139</v>
      </c>
      <c r="AM630" t="s">
        <v>476</v>
      </c>
      <c r="AN630" t="s">
        <v>1140</v>
      </c>
      <c r="AO630" t="s">
        <v>4490</v>
      </c>
      <c r="AP630" t="s">
        <v>4519</v>
      </c>
      <c r="AQ630" t="s">
        <v>74</v>
      </c>
      <c r="AR630" t="s">
        <v>4491</v>
      </c>
      <c r="AS630" t="s">
        <v>4492</v>
      </c>
      <c r="AT630" t="s">
        <v>9687</v>
      </c>
      <c r="AU630">
        <v>2006</v>
      </c>
      <c r="AV630">
        <v>18</v>
      </c>
      <c r="AW630">
        <v>1</v>
      </c>
      <c r="AX630" t="s">
        <v>74</v>
      </c>
      <c r="AY630" t="s">
        <v>74</v>
      </c>
      <c r="AZ630" t="s">
        <v>74</v>
      </c>
      <c r="BA630" t="s">
        <v>74</v>
      </c>
      <c r="BB630">
        <v>23</v>
      </c>
      <c r="BC630">
        <v>50</v>
      </c>
      <c r="BD630" t="s">
        <v>74</v>
      </c>
      <c r="BE630" t="s">
        <v>9775</v>
      </c>
      <c r="BF630" t="str">
        <f>HYPERLINK("http://dx.doi.org/10.1017/S0954102006000034","http://dx.doi.org/10.1017/S0954102006000034")</f>
        <v>http://dx.doi.org/10.1017/S0954102006000034</v>
      </c>
      <c r="BG630" t="s">
        <v>74</v>
      </c>
      <c r="BH630" t="s">
        <v>74</v>
      </c>
      <c r="BI630">
        <v>28</v>
      </c>
      <c r="BJ630" t="s">
        <v>4494</v>
      </c>
      <c r="BK630" t="s">
        <v>97</v>
      </c>
      <c r="BL630" t="s">
        <v>4495</v>
      </c>
      <c r="BM630" t="s">
        <v>9738</v>
      </c>
      <c r="BN630" t="s">
        <v>74</v>
      </c>
      <c r="BO630" t="s">
        <v>74</v>
      </c>
      <c r="BP630" t="s">
        <v>74</v>
      </c>
      <c r="BQ630" t="s">
        <v>74</v>
      </c>
      <c r="BR630" t="s">
        <v>100</v>
      </c>
      <c r="BS630" t="s">
        <v>9776</v>
      </c>
      <c r="BT630" t="str">
        <f>HYPERLINK("https%3A%2F%2Fwww.webofscience.com%2Fwos%2Fwoscc%2Ffull-record%2FWOS:000235923600004","View Full Record in Web of Science")</f>
        <v>View Full Record in Web of Science</v>
      </c>
    </row>
    <row r="631" spans="1:72" x14ac:dyDescent="0.15">
      <c r="A631" t="s">
        <v>72</v>
      </c>
      <c r="B631" t="s">
        <v>9777</v>
      </c>
      <c r="C631" t="s">
        <v>74</v>
      </c>
      <c r="D631" t="s">
        <v>74</v>
      </c>
      <c r="E631" t="s">
        <v>74</v>
      </c>
      <c r="F631" t="s">
        <v>9777</v>
      </c>
      <c r="G631" t="s">
        <v>74</v>
      </c>
      <c r="H631" t="s">
        <v>74</v>
      </c>
      <c r="I631" t="s">
        <v>9778</v>
      </c>
      <c r="J631" t="s">
        <v>4486</v>
      </c>
      <c r="K631" t="s">
        <v>74</v>
      </c>
      <c r="L631" t="s">
        <v>74</v>
      </c>
      <c r="M631" t="s">
        <v>78</v>
      </c>
      <c r="N631" t="s">
        <v>79</v>
      </c>
      <c r="O631" t="s">
        <v>74</v>
      </c>
      <c r="P631" t="s">
        <v>74</v>
      </c>
      <c r="Q631" t="s">
        <v>74</v>
      </c>
      <c r="R631" t="s">
        <v>74</v>
      </c>
      <c r="S631" t="s">
        <v>74</v>
      </c>
      <c r="T631" t="s">
        <v>9779</v>
      </c>
      <c r="U631" t="s">
        <v>9780</v>
      </c>
      <c r="V631" t="s">
        <v>9781</v>
      </c>
      <c r="W631" t="s">
        <v>9782</v>
      </c>
      <c r="X631" t="s">
        <v>9783</v>
      </c>
      <c r="Y631" t="s">
        <v>9784</v>
      </c>
      <c r="Z631" t="s">
        <v>9785</v>
      </c>
      <c r="AA631" t="s">
        <v>74</v>
      </c>
      <c r="AB631" t="s">
        <v>74</v>
      </c>
      <c r="AC631" t="s">
        <v>74</v>
      </c>
      <c r="AD631" t="s">
        <v>74</v>
      </c>
      <c r="AE631" t="s">
        <v>74</v>
      </c>
      <c r="AF631" t="s">
        <v>74</v>
      </c>
      <c r="AG631">
        <v>38</v>
      </c>
      <c r="AH631">
        <v>6</v>
      </c>
      <c r="AI631">
        <v>6</v>
      </c>
      <c r="AJ631">
        <v>1</v>
      </c>
      <c r="AK631">
        <v>3</v>
      </c>
      <c r="AL631" t="s">
        <v>1139</v>
      </c>
      <c r="AM631" t="s">
        <v>476</v>
      </c>
      <c r="AN631" t="s">
        <v>1140</v>
      </c>
      <c r="AO631" t="s">
        <v>4490</v>
      </c>
      <c r="AP631" t="s">
        <v>4519</v>
      </c>
      <c r="AQ631" t="s">
        <v>74</v>
      </c>
      <c r="AR631" t="s">
        <v>4491</v>
      </c>
      <c r="AS631" t="s">
        <v>4492</v>
      </c>
      <c r="AT631" t="s">
        <v>9687</v>
      </c>
      <c r="AU631">
        <v>2006</v>
      </c>
      <c r="AV631">
        <v>18</v>
      </c>
      <c r="AW631">
        <v>1</v>
      </c>
      <c r="AX631" t="s">
        <v>74</v>
      </c>
      <c r="AY631" t="s">
        <v>74</v>
      </c>
      <c r="AZ631" t="s">
        <v>74</v>
      </c>
      <c r="BA631" t="s">
        <v>74</v>
      </c>
      <c r="BB631">
        <v>51</v>
      </c>
      <c r="BC631">
        <v>60</v>
      </c>
      <c r="BD631" t="s">
        <v>74</v>
      </c>
      <c r="BE631" t="s">
        <v>9786</v>
      </c>
      <c r="BF631" t="str">
        <f>HYPERLINK("http://dx.doi.org/10.1017/S0954102006000046","http://dx.doi.org/10.1017/S0954102006000046")</f>
        <v>http://dx.doi.org/10.1017/S0954102006000046</v>
      </c>
      <c r="BG631" t="s">
        <v>74</v>
      </c>
      <c r="BH631" t="s">
        <v>74</v>
      </c>
      <c r="BI631">
        <v>10</v>
      </c>
      <c r="BJ631" t="s">
        <v>4494</v>
      </c>
      <c r="BK631" t="s">
        <v>97</v>
      </c>
      <c r="BL631" t="s">
        <v>4495</v>
      </c>
      <c r="BM631" t="s">
        <v>9738</v>
      </c>
      <c r="BN631" t="s">
        <v>74</v>
      </c>
      <c r="BO631" t="s">
        <v>74</v>
      </c>
      <c r="BP631" t="s">
        <v>74</v>
      </c>
      <c r="BQ631" t="s">
        <v>74</v>
      </c>
      <c r="BR631" t="s">
        <v>100</v>
      </c>
      <c r="BS631" t="s">
        <v>9787</v>
      </c>
      <c r="BT631" t="str">
        <f>HYPERLINK("https%3A%2F%2Fwww.webofscience.com%2Fwos%2Fwoscc%2Ffull-record%2FWOS:000235923600005","View Full Record in Web of Science")</f>
        <v>View Full Record in Web of Science</v>
      </c>
    </row>
    <row r="632" spans="1:72" x14ac:dyDescent="0.15">
      <c r="A632" t="s">
        <v>72</v>
      </c>
      <c r="B632" t="s">
        <v>9788</v>
      </c>
      <c r="C632" t="s">
        <v>74</v>
      </c>
      <c r="D632" t="s">
        <v>74</v>
      </c>
      <c r="E632" t="s">
        <v>74</v>
      </c>
      <c r="F632" t="s">
        <v>9788</v>
      </c>
      <c r="G632" t="s">
        <v>74</v>
      </c>
      <c r="H632" t="s">
        <v>74</v>
      </c>
      <c r="I632" t="s">
        <v>9789</v>
      </c>
      <c r="J632" t="s">
        <v>4486</v>
      </c>
      <c r="K632" t="s">
        <v>74</v>
      </c>
      <c r="L632" t="s">
        <v>74</v>
      </c>
      <c r="M632" t="s">
        <v>78</v>
      </c>
      <c r="N632" t="s">
        <v>79</v>
      </c>
      <c r="O632" t="s">
        <v>74</v>
      </c>
      <c r="P632" t="s">
        <v>74</v>
      </c>
      <c r="Q632" t="s">
        <v>74</v>
      </c>
      <c r="R632" t="s">
        <v>74</v>
      </c>
      <c r="S632" t="s">
        <v>74</v>
      </c>
      <c r="T632" t="s">
        <v>9790</v>
      </c>
      <c r="U632" t="s">
        <v>9791</v>
      </c>
      <c r="V632" t="s">
        <v>9792</v>
      </c>
      <c r="W632" t="s">
        <v>2646</v>
      </c>
      <c r="X632" t="s">
        <v>407</v>
      </c>
      <c r="Y632" t="s">
        <v>9793</v>
      </c>
      <c r="Z632" t="s">
        <v>9794</v>
      </c>
      <c r="AA632" t="s">
        <v>74</v>
      </c>
      <c r="AB632" t="s">
        <v>74</v>
      </c>
      <c r="AC632" t="s">
        <v>9795</v>
      </c>
      <c r="AD632" t="s">
        <v>413</v>
      </c>
      <c r="AE632" t="s">
        <v>74</v>
      </c>
      <c r="AF632" t="s">
        <v>74</v>
      </c>
      <c r="AG632">
        <v>35</v>
      </c>
      <c r="AH632">
        <v>9</v>
      </c>
      <c r="AI632">
        <v>12</v>
      </c>
      <c r="AJ632">
        <v>4</v>
      </c>
      <c r="AK632">
        <v>74</v>
      </c>
      <c r="AL632" t="s">
        <v>1139</v>
      </c>
      <c r="AM632" t="s">
        <v>476</v>
      </c>
      <c r="AN632" t="s">
        <v>1140</v>
      </c>
      <c r="AO632" t="s">
        <v>4490</v>
      </c>
      <c r="AP632" t="s">
        <v>4519</v>
      </c>
      <c r="AQ632" t="s">
        <v>74</v>
      </c>
      <c r="AR632" t="s">
        <v>4491</v>
      </c>
      <c r="AS632" t="s">
        <v>4492</v>
      </c>
      <c r="AT632" t="s">
        <v>9687</v>
      </c>
      <c r="AU632">
        <v>2006</v>
      </c>
      <c r="AV632">
        <v>18</v>
      </c>
      <c r="AW632">
        <v>1</v>
      </c>
      <c r="AX632" t="s">
        <v>74</v>
      </c>
      <c r="AY632" t="s">
        <v>74</v>
      </c>
      <c r="AZ632" t="s">
        <v>74</v>
      </c>
      <c r="BA632" t="s">
        <v>74</v>
      </c>
      <c r="BB632">
        <v>61</v>
      </c>
      <c r="BC632">
        <v>74</v>
      </c>
      <c r="BD632" t="s">
        <v>74</v>
      </c>
      <c r="BE632" t="s">
        <v>9796</v>
      </c>
      <c r="BF632" t="str">
        <f>HYPERLINK("http://dx.doi.org/10.1017/S0954102006000058","http://dx.doi.org/10.1017/S0954102006000058")</f>
        <v>http://dx.doi.org/10.1017/S0954102006000058</v>
      </c>
      <c r="BG632" t="s">
        <v>74</v>
      </c>
      <c r="BH632" t="s">
        <v>74</v>
      </c>
      <c r="BI632">
        <v>14</v>
      </c>
      <c r="BJ632" t="s">
        <v>4494</v>
      </c>
      <c r="BK632" t="s">
        <v>97</v>
      </c>
      <c r="BL632" t="s">
        <v>4495</v>
      </c>
      <c r="BM632" t="s">
        <v>9738</v>
      </c>
      <c r="BN632" t="s">
        <v>74</v>
      </c>
      <c r="BO632" t="s">
        <v>74</v>
      </c>
      <c r="BP632" t="s">
        <v>74</v>
      </c>
      <c r="BQ632" t="s">
        <v>74</v>
      </c>
      <c r="BR632" t="s">
        <v>100</v>
      </c>
      <c r="BS632" t="s">
        <v>9797</v>
      </c>
      <c r="BT632" t="str">
        <f>HYPERLINK("https%3A%2F%2Fwww.webofscience.com%2Fwos%2Fwoscc%2Ffull-record%2FWOS:000235923600006","View Full Record in Web of Science")</f>
        <v>View Full Record in Web of Science</v>
      </c>
    </row>
    <row r="633" spans="1:72" x14ac:dyDescent="0.15">
      <c r="A633" t="s">
        <v>72</v>
      </c>
      <c r="B633" t="s">
        <v>9798</v>
      </c>
      <c r="C633" t="s">
        <v>74</v>
      </c>
      <c r="D633" t="s">
        <v>74</v>
      </c>
      <c r="E633" t="s">
        <v>74</v>
      </c>
      <c r="F633" t="s">
        <v>9798</v>
      </c>
      <c r="G633" t="s">
        <v>74</v>
      </c>
      <c r="H633" t="s">
        <v>74</v>
      </c>
      <c r="I633" t="s">
        <v>9799</v>
      </c>
      <c r="J633" t="s">
        <v>4486</v>
      </c>
      <c r="K633" t="s">
        <v>74</v>
      </c>
      <c r="L633" t="s">
        <v>74</v>
      </c>
      <c r="M633" t="s">
        <v>78</v>
      </c>
      <c r="N633" t="s">
        <v>79</v>
      </c>
      <c r="O633" t="s">
        <v>74</v>
      </c>
      <c r="P633" t="s">
        <v>74</v>
      </c>
      <c r="Q633" t="s">
        <v>74</v>
      </c>
      <c r="R633" t="s">
        <v>74</v>
      </c>
      <c r="S633" t="s">
        <v>74</v>
      </c>
      <c r="T633" t="s">
        <v>9800</v>
      </c>
      <c r="U633" t="s">
        <v>9801</v>
      </c>
      <c r="V633" t="s">
        <v>9802</v>
      </c>
      <c r="W633" t="s">
        <v>9803</v>
      </c>
      <c r="X633" t="s">
        <v>9804</v>
      </c>
      <c r="Y633" t="s">
        <v>9805</v>
      </c>
      <c r="Z633" t="s">
        <v>9806</v>
      </c>
      <c r="AA633" t="s">
        <v>9807</v>
      </c>
      <c r="AB633" t="s">
        <v>9808</v>
      </c>
      <c r="AC633" t="s">
        <v>74</v>
      </c>
      <c r="AD633" t="s">
        <v>74</v>
      </c>
      <c r="AE633" t="s">
        <v>74</v>
      </c>
      <c r="AF633" t="s">
        <v>74</v>
      </c>
      <c r="AG633">
        <v>29</v>
      </c>
      <c r="AH633">
        <v>2</v>
      </c>
      <c r="AI633">
        <v>2</v>
      </c>
      <c r="AJ633">
        <v>1</v>
      </c>
      <c r="AK633">
        <v>10</v>
      </c>
      <c r="AL633" t="s">
        <v>1139</v>
      </c>
      <c r="AM633" t="s">
        <v>476</v>
      </c>
      <c r="AN633" t="s">
        <v>1140</v>
      </c>
      <c r="AO633" t="s">
        <v>4490</v>
      </c>
      <c r="AP633" t="s">
        <v>4519</v>
      </c>
      <c r="AQ633" t="s">
        <v>74</v>
      </c>
      <c r="AR633" t="s">
        <v>4491</v>
      </c>
      <c r="AS633" t="s">
        <v>4492</v>
      </c>
      <c r="AT633" t="s">
        <v>9687</v>
      </c>
      <c r="AU633">
        <v>2006</v>
      </c>
      <c r="AV633">
        <v>18</v>
      </c>
      <c r="AW633">
        <v>1</v>
      </c>
      <c r="AX633" t="s">
        <v>74</v>
      </c>
      <c r="AY633" t="s">
        <v>74</v>
      </c>
      <c r="AZ633" t="s">
        <v>74</v>
      </c>
      <c r="BA633" t="s">
        <v>74</v>
      </c>
      <c r="BB633">
        <v>75</v>
      </c>
      <c r="BC633">
        <v>80</v>
      </c>
      <c r="BD633" t="s">
        <v>74</v>
      </c>
      <c r="BE633" t="s">
        <v>74</v>
      </c>
      <c r="BF633" t="s">
        <v>74</v>
      </c>
      <c r="BG633" t="s">
        <v>74</v>
      </c>
      <c r="BH633" t="s">
        <v>74</v>
      </c>
      <c r="BI633">
        <v>6</v>
      </c>
      <c r="BJ633" t="s">
        <v>4494</v>
      </c>
      <c r="BK633" t="s">
        <v>97</v>
      </c>
      <c r="BL633" t="s">
        <v>4495</v>
      </c>
      <c r="BM633" t="s">
        <v>9738</v>
      </c>
      <c r="BN633" t="s">
        <v>74</v>
      </c>
      <c r="BO633" t="s">
        <v>74</v>
      </c>
      <c r="BP633" t="s">
        <v>74</v>
      </c>
      <c r="BQ633" t="s">
        <v>74</v>
      </c>
      <c r="BR633" t="s">
        <v>100</v>
      </c>
      <c r="BS633" t="s">
        <v>9809</v>
      </c>
      <c r="BT633" t="str">
        <f>HYPERLINK("https%3A%2F%2Fwww.webofscience.com%2Fwos%2Fwoscc%2Ffull-record%2FWOS:000235923600007","View Full Record in Web of Science")</f>
        <v>View Full Record in Web of Science</v>
      </c>
    </row>
    <row r="634" spans="1:72" x14ac:dyDescent="0.15">
      <c r="A634" t="s">
        <v>72</v>
      </c>
      <c r="B634" t="s">
        <v>9810</v>
      </c>
      <c r="C634" t="s">
        <v>74</v>
      </c>
      <c r="D634" t="s">
        <v>74</v>
      </c>
      <c r="E634" t="s">
        <v>74</v>
      </c>
      <c r="F634" t="s">
        <v>9810</v>
      </c>
      <c r="G634" t="s">
        <v>74</v>
      </c>
      <c r="H634" t="s">
        <v>74</v>
      </c>
      <c r="I634" t="s">
        <v>9811</v>
      </c>
      <c r="J634" t="s">
        <v>4486</v>
      </c>
      <c r="K634" t="s">
        <v>74</v>
      </c>
      <c r="L634" t="s">
        <v>74</v>
      </c>
      <c r="M634" t="s">
        <v>78</v>
      </c>
      <c r="N634" t="s">
        <v>79</v>
      </c>
      <c r="O634" t="s">
        <v>74</v>
      </c>
      <c r="P634" t="s">
        <v>74</v>
      </c>
      <c r="Q634" t="s">
        <v>74</v>
      </c>
      <c r="R634" t="s">
        <v>74</v>
      </c>
      <c r="S634" t="s">
        <v>74</v>
      </c>
      <c r="T634" t="s">
        <v>74</v>
      </c>
      <c r="U634" t="s">
        <v>9812</v>
      </c>
      <c r="V634" t="s">
        <v>74</v>
      </c>
      <c r="W634" t="s">
        <v>9813</v>
      </c>
      <c r="X634" t="s">
        <v>9814</v>
      </c>
      <c r="Y634" t="s">
        <v>9815</v>
      </c>
      <c r="Z634" t="s">
        <v>74</v>
      </c>
      <c r="AA634" t="s">
        <v>74</v>
      </c>
      <c r="AB634" t="s">
        <v>74</v>
      </c>
      <c r="AC634" t="s">
        <v>74</v>
      </c>
      <c r="AD634" t="s">
        <v>74</v>
      </c>
      <c r="AE634" t="s">
        <v>74</v>
      </c>
      <c r="AF634" t="s">
        <v>74</v>
      </c>
      <c r="AG634">
        <v>17</v>
      </c>
      <c r="AH634">
        <v>3</v>
      </c>
      <c r="AI634">
        <v>6</v>
      </c>
      <c r="AJ634">
        <v>0</v>
      </c>
      <c r="AK634">
        <v>7</v>
      </c>
      <c r="AL634" t="s">
        <v>1139</v>
      </c>
      <c r="AM634" t="s">
        <v>476</v>
      </c>
      <c r="AN634" t="s">
        <v>1140</v>
      </c>
      <c r="AO634" t="s">
        <v>4490</v>
      </c>
      <c r="AP634" t="s">
        <v>4519</v>
      </c>
      <c r="AQ634" t="s">
        <v>74</v>
      </c>
      <c r="AR634" t="s">
        <v>4491</v>
      </c>
      <c r="AS634" t="s">
        <v>4492</v>
      </c>
      <c r="AT634" t="s">
        <v>9687</v>
      </c>
      <c r="AU634">
        <v>2006</v>
      </c>
      <c r="AV634">
        <v>18</v>
      </c>
      <c r="AW634">
        <v>1</v>
      </c>
      <c r="AX634" t="s">
        <v>74</v>
      </c>
      <c r="AY634" t="s">
        <v>74</v>
      </c>
      <c r="AZ634" t="s">
        <v>74</v>
      </c>
      <c r="BA634" t="s">
        <v>74</v>
      </c>
      <c r="BB634">
        <v>81</v>
      </c>
      <c r="BC634">
        <v>82</v>
      </c>
      <c r="BD634" t="s">
        <v>74</v>
      </c>
      <c r="BE634" t="s">
        <v>9816</v>
      </c>
      <c r="BF634" t="str">
        <f>HYPERLINK("http://dx.doi.org/10.1017/S0954102006000071","http://dx.doi.org/10.1017/S0954102006000071")</f>
        <v>http://dx.doi.org/10.1017/S0954102006000071</v>
      </c>
      <c r="BG634" t="s">
        <v>74</v>
      </c>
      <c r="BH634" t="s">
        <v>74</v>
      </c>
      <c r="BI634">
        <v>2</v>
      </c>
      <c r="BJ634" t="s">
        <v>4494</v>
      </c>
      <c r="BK634" t="s">
        <v>97</v>
      </c>
      <c r="BL634" t="s">
        <v>4495</v>
      </c>
      <c r="BM634" t="s">
        <v>9738</v>
      </c>
      <c r="BN634" t="s">
        <v>74</v>
      </c>
      <c r="BO634" t="s">
        <v>74</v>
      </c>
      <c r="BP634" t="s">
        <v>74</v>
      </c>
      <c r="BQ634" t="s">
        <v>74</v>
      </c>
      <c r="BR634" t="s">
        <v>100</v>
      </c>
      <c r="BS634" t="s">
        <v>9817</v>
      </c>
      <c r="BT634" t="str">
        <f>HYPERLINK("https%3A%2F%2Fwww.webofscience.com%2Fwos%2Fwoscc%2Ffull-record%2FWOS:000235923600008","View Full Record in Web of Science")</f>
        <v>View Full Record in Web of Science</v>
      </c>
    </row>
    <row r="635" spans="1:72" x14ac:dyDescent="0.15">
      <c r="A635" t="s">
        <v>72</v>
      </c>
      <c r="B635" t="s">
        <v>9818</v>
      </c>
      <c r="C635" t="s">
        <v>74</v>
      </c>
      <c r="D635" t="s">
        <v>74</v>
      </c>
      <c r="E635" t="s">
        <v>74</v>
      </c>
      <c r="F635" t="s">
        <v>9818</v>
      </c>
      <c r="G635" t="s">
        <v>74</v>
      </c>
      <c r="H635" t="s">
        <v>74</v>
      </c>
      <c r="I635" t="s">
        <v>9819</v>
      </c>
      <c r="J635" t="s">
        <v>4486</v>
      </c>
      <c r="K635" t="s">
        <v>74</v>
      </c>
      <c r="L635" t="s">
        <v>74</v>
      </c>
      <c r="M635" t="s">
        <v>78</v>
      </c>
      <c r="N635" t="s">
        <v>511</v>
      </c>
      <c r="O635" t="s">
        <v>74</v>
      </c>
      <c r="P635" t="s">
        <v>74</v>
      </c>
      <c r="Q635" t="s">
        <v>74</v>
      </c>
      <c r="R635" t="s">
        <v>74</v>
      </c>
      <c r="S635" t="s">
        <v>74</v>
      </c>
      <c r="T635" t="s">
        <v>9820</v>
      </c>
      <c r="U635" t="s">
        <v>9821</v>
      </c>
      <c r="V635" t="s">
        <v>9822</v>
      </c>
      <c r="W635" t="s">
        <v>9823</v>
      </c>
      <c r="X635" t="s">
        <v>9824</v>
      </c>
      <c r="Y635" t="s">
        <v>9825</v>
      </c>
      <c r="Z635" t="s">
        <v>9826</v>
      </c>
      <c r="AA635" t="s">
        <v>74</v>
      </c>
      <c r="AB635" t="s">
        <v>9827</v>
      </c>
      <c r="AC635" t="s">
        <v>74</v>
      </c>
      <c r="AD635" t="s">
        <v>74</v>
      </c>
      <c r="AE635" t="s">
        <v>74</v>
      </c>
      <c r="AF635" t="s">
        <v>74</v>
      </c>
      <c r="AG635">
        <v>101</v>
      </c>
      <c r="AH635">
        <v>39</v>
      </c>
      <c r="AI635">
        <v>42</v>
      </c>
      <c r="AJ635">
        <v>0</v>
      </c>
      <c r="AK635">
        <v>24</v>
      </c>
      <c r="AL635" t="s">
        <v>1139</v>
      </c>
      <c r="AM635" t="s">
        <v>476</v>
      </c>
      <c r="AN635" t="s">
        <v>1140</v>
      </c>
      <c r="AO635" t="s">
        <v>4490</v>
      </c>
      <c r="AP635" t="s">
        <v>4519</v>
      </c>
      <c r="AQ635" t="s">
        <v>74</v>
      </c>
      <c r="AR635" t="s">
        <v>4491</v>
      </c>
      <c r="AS635" t="s">
        <v>4492</v>
      </c>
      <c r="AT635" t="s">
        <v>9687</v>
      </c>
      <c r="AU635">
        <v>2006</v>
      </c>
      <c r="AV635">
        <v>18</v>
      </c>
      <c r="AW635">
        <v>1</v>
      </c>
      <c r="AX635" t="s">
        <v>74</v>
      </c>
      <c r="AY635" t="s">
        <v>74</v>
      </c>
      <c r="AZ635" t="s">
        <v>74</v>
      </c>
      <c r="BA635" t="s">
        <v>74</v>
      </c>
      <c r="BB635">
        <v>83</v>
      </c>
      <c r="BC635">
        <v>99</v>
      </c>
      <c r="BD635" t="s">
        <v>74</v>
      </c>
      <c r="BE635" t="s">
        <v>9828</v>
      </c>
      <c r="BF635" t="str">
        <f>HYPERLINK("http://dx.doi.org/10.1017/S0954102006000083","http://dx.doi.org/10.1017/S0954102006000083")</f>
        <v>http://dx.doi.org/10.1017/S0954102006000083</v>
      </c>
      <c r="BG635" t="s">
        <v>74</v>
      </c>
      <c r="BH635" t="s">
        <v>74</v>
      </c>
      <c r="BI635">
        <v>17</v>
      </c>
      <c r="BJ635" t="s">
        <v>4494</v>
      </c>
      <c r="BK635" t="s">
        <v>97</v>
      </c>
      <c r="BL635" t="s">
        <v>4495</v>
      </c>
      <c r="BM635" t="s">
        <v>9738</v>
      </c>
      <c r="BN635" t="s">
        <v>74</v>
      </c>
      <c r="BO635" t="s">
        <v>74</v>
      </c>
      <c r="BP635" t="s">
        <v>74</v>
      </c>
      <c r="BQ635" t="s">
        <v>74</v>
      </c>
      <c r="BR635" t="s">
        <v>100</v>
      </c>
      <c r="BS635" t="s">
        <v>9829</v>
      </c>
      <c r="BT635" t="str">
        <f>HYPERLINK("https%3A%2F%2Fwww.webofscience.com%2Fwos%2Fwoscc%2Ffull-record%2FWOS:000235923600009","View Full Record in Web of Science")</f>
        <v>View Full Record in Web of Science</v>
      </c>
    </row>
    <row r="636" spans="1:72" x14ac:dyDescent="0.15">
      <c r="A636" t="s">
        <v>72</v>
      </c>
      <c r="B636" t="s">
        <v>9830</v>
      </c>
      <c r="C636" t="s">
        <v>74</v>
      </c>
      <c r="D636" t="s">
        <v>74</v>
      </c>
      <c r="E636" t="s">
        <v>74</v>
      </c>
      <c r="F636" t="s">
        <v>9830</v>
      </c>
      <c r="G636" t="s">
        <v>74</v>
      </c>
      <c r="H636" t="s">
        <v>74</v>
      </c>
      <c r="I636" t="s">
        <v>9831</v>
      </c>
      <c r="J636" t="s">
        <v>4486</v>
      </c>
      <c r="K636" t="s">
        <v>74</v>
      </c>
      <c r="L636" t="s">
        <v>74</v>
      </c>
      <c r="M636" t="s">
        <v>78</v>
      </c>
      <c r="N636" t="s">
        <v>79</v>
      </c>
      <c r="O636" t="s">
        <v>74</v>
      </c>
      <c r="P636" t="s">
        <v>74</v>
      </c>
      <c r="Q636" t="s">
        <v>74</v>
      </c>
      <c r="R636" t="s">
        <v>74</v>
      </c>
      <c r="S636" t="s">
        <v>74</v>
      </c>
      <c r="T636" t="s">
        <v>9832</v>
      </c>
      <c r="U636" t="s">
        <v>9833</v>
      </c>
      <c r="V636" t="s">
        <v>9834</v>
      </c>
      <c r="W636" t="s">
        <v>9835</v>
      </c>
      <c r="X636" t="s">
        <v>9836</v>
      </c>
      <c r="Y636" t="s">
        <v>9837</v>
      </c>
      <c r="Z636" t="s">
        <v>9838</v>
      </c>
      <c r="AA636" t="s">
        <v>9839</v>
      </c>
      <c r="AB636" t="s">
        <v>9840</v>
      </c>
      <c r="AC636" t="s">
        <v>74</v>
      </c>
      <c r="AD636" t="s">
        <v>74</v>
      </c>
      <c r="AE636" t="s">
        <v>74</v>
      </c>
      <c r="AF636" t="s">
        <v>74</v>
      </c>
      <c r="AG636">
        <v>29</v>
      </c>
      <c r="AH636">
        <v>12</v>
      </c>
      <c r="AI636">
        <v>12</v>
      </c>
      <c r="AJ636">
        <v>0</v>
      </c>
      <c r="AK636">
        <v>2</v>
      </c>
      <c r="AL636" t="s">
        <v>1139</v>
      </c>
      <c r="AM636" t="s">
        <v>476</v>
      </c>
      <c r="AN636" t="s">
        <v>1140</v>
      </c>
      <c r="AO636" t="s">
        <v>4490</v>
      </c>
      <c r="AP636" t="s">
        <v>4519</v>
      </c>
      <c r="AQ636" t="s">
        <v>74</v>
      </c>
      <c r="AR636" t="s">
        <v>4491</v>
      </c>
      <c r="AS636" t="s">
        <v>4492</v>
      </c>
      <c r="AT636" t="s">
        <v>9687</v>
      </c>
      <c r="AU636">
        <v>2006</v>
      </c>
      <c r="AV636">
        <v>18</v>
      </c>
      <c r="AW636">
        <v>1</v>
      </c>
      <c r="AX636" t="s">
        <v>74</v>
      </c>
      <c r="AY636" t="s">
        <v>74</v>
      </c>
      <c r="AZ636" t="s">
        <v>74</v>
      </c>
      <c r="BA636" t="s">
        <v>74</v>
      </c>
      <c r="BB636">
        <v>101</v>
      </c>
      <c r="BC636">
        <v>109</v>
      </c>
      <c r="BD636" t="s">
        <v>74</v>
      </c>
      <c r="BE636" t="s">
        <v>9841</v>
      </c>
      <c r="BF636" t="str">
        <f>HYPERLINK("http://dx.doi.org/10.1017/S0954102006000095","http://dx.doi.org/10.1017/S0954102006000095")</f>
        <v>http://dx.doi.org/10.1017/S0954102006000095</v>
      </c>
      <c r="BG636" t="s">
        <v>74</v>
      </c>
      <c r="BH636" t="s">
        <v>74</v>
      </c>
      <c r="BI636">
        <v>9</v>
      </c>
      <c r="BJ636" t="s">
        <v>4494</v>
      </c>
      <c r="BK636" t="s">
        <v>97</v>
      </c>
      <c r="BL636" t="s">
        <v>4495</v>
      </c>
      <c r="BM636" t="s">
        <v>9738</v>
      </c>
      <c r="BN636" t="s">
        <v>74</v>
      </c>
      <c r="BO636" t="s">
        <v>74</v>
      </c>
      <c r="BP636" t="s">
        <v>74</v>
      </c>
      <c r="BQ636" t="s">
        <v>74</v>
      </c>
      <c r="BR636" t="s">
        <v>100</v>
      </c>
      <c r="BS636" t="s">
        <v>9842</v>
      </c>
      <c r="BT636" t="str">
        <f>HYPERLINK("https%3A%2F%2Fwww.webofscience.com%2Fwos%2Fwoscc%2Ffull-record%2FWOS:000235923600010","View Full Record in Web of Science")</f>
        <v>View Full Record in Web of Science</v>
      </c>
    </row>
    <row r="637" spans="1:72" x14ac:dyDescent="0.15">
      <c r="A637" t="s">
        <v>72</v>
      </c>
      <c r="B637" t="s">
        <v>9843</v>
      </c>
      <c r="C637" t="s">
        <v>74</v>
      </c>
      <c r="D637" t="s">
        <v>74</v>
      </c>
      <c r="E637" t="s">
        <v>74</v>
      </c>
      <c r="F637" t="s">
        <v>9843</v>
      </c>
      <c r="G637" t="s">
        <v>74</v>
      </c>
      <c r="H637" t="s">
        <v>74</v>
      </c>
      <c r="I637" t="s">
        <v>9844</v>
      </c>
      <c r="J637" t="s">
        <v>4486</v>
      </c>
      <c r="K637" t="s">
        <v>74</v>
      </c>
      <c r="L637" t="s">
        <v>74</v>
      </c>
      <c r="M637" t="s">
        <v>78</v>
      </c>
      <c r="N637" t="s">
        <v>79</v>
      </c>
      <c r="O637" t="s">
        <v>74</v>
      </c>
      <c r="P637" t="s">
        <v>74</v>
      </c>
      <c r="Q637" t="s">
        <v>74</v>
      </c>
      <c r="R637" t="s">
        <v>74</v>
      </c>
      <c r="S637" t="s">
        <v>74</v>
      </c>
      <c r="T637" t="s">
        <v>9845</v>
      </c>
      <c r="U637" t="s">
        <v>9846</v>
      </c>
      <c r="V637" t="s">
        <v>9847</v>
      </c>
      <c r="W637" t="s">
        <v>9848</v>
      </c>
      <c r="X637" t="s">
        <v>9849</v>
      </c>
      <c r="Y637" t="s">
        <v>9850</v>
      </c>
      <c r="Z637" t="s">
        <v>9851</v>
      </c>
      <c r="AA637" t="s">
        <v>74</v>
      </c>
      <c r="AB637" t="s">
        <v>74</v>
      </c>
      <c r="AC637" t="s">
        <v>74</v>
      </c>
      <c r="AD637" t="s">
        <v>74</v>
      </c>
      <c r="AE637" t="s">
        <v>74</v>
      </c>
      <c r="AF637" t="s">
        <v>74</v>
      </c>
      <c r="AG637">
        <v>30</v>
      </c>
      <c r="AH637">
        <v>9</v>
      </c>
      <c r="AI637">
        <v>10</v>
      </c>
      <c r="AJ637">
        <v>0</v>
      </c>
      <c r="AK637">
        <v>11</v>
      </c>
      <c r="AL637" t="s">
        <v>1139</v>
      </c>
      <c r="AM637" t="s">
        <v>476</v>
      </c>
      <c r="AN637" t="s">
        <v>1140</v>
      </c>
      <c r="AO637" t="s">
        <v>4490</v>
      </c>
      <c r="AP637" t="s">
        <v>4519</v>
      </c>
      <c r="AQ637" t="s">
        <v>74</v>
      </c>
      <c r="AR637" t="s">
        <v>4491</v>
      </c>
      <c r="AS637" t="s">
        <v>4492</v>
      </c>
      <c r="AT637" t="s">
        <v>9687</v>
      </c>
      <c r="AU637">
        <v>2006</v>
      </c>
      <c r="AV637">
        <v>18</v>
      </c>
      <c r="AW637">
        <v>1</v>
      </c>
      <c r="AX637" t="s">
        <v>74</v>
      </c>
      <c r="AY637" t="s">
        <v>74</v>
      </c>
      <c r="AZ637" t="s">
        <v>74</v>
      </c>
      <c r="BA637" t="s">
        <v>74</v>
      </c>
      <c r="BB637">
        <v>111</v>
      </c>
      <c r="BC637">
        <v>115</v>
      </c>
      <c r="BD637" t="s">
        <v>74</v>
      </c>
      <c r="BE637" t="s">
        <v>9852</v>
      </c>
      <c r="BF637" t="str">
        <f>HYPERLINK("http://dx.doi.org/10.1017/S0954102006000101","http://dx.doi.org/10.1017/S0954102006000101")</f>
        <v>http://dx.doi.org/10.1017/S0954102006000101</v>
      </c>
      <c r="BG637" t="s">
        <v>74</v>
      </c>
      <c r="BH637" t="s">
        <v>74</v>
      </c>
      <c r="BI637">
        <v>5</v>
      </c>
      <c r="BJ637" t="s">
        <v>4494</v>
      </c>
      <c r="BK637" t="s">
        <v>97</v>
      </c>
      <c r="BL637" t="s">
        <v>4495</v>
      </c>
      <c r="BM637" t="s">
        <v>9738</v>
      </c>
      <c r="BN637" t="s">
        <v>74</v>
      </c>
      <c r="BO637" t="s">
        <v>74</v>
      </c>
      <c r="BP637" t="s">
        <v>74</v>
      </c>
      <c r="BQ637" t="s">
        <v>74</v>
      </c>
      <c r="BR637" t="s">
        <v>100</v>
      </c>
      <c r="BS637" t="s">
        <v>9853</v>
      </c>
      <c r="BT637" t="str">
        <f>HYPERLINK("https%3A%2F%2Fwww.webofscience.com%2Fwos%2Fwoscc%2Ffull-record%2FWOS:000235923600011","View Full Record in Web of Science")</f>
        <v>View Full Record in Web of Science</v>
      </c>
    </row>
    <row r="638" spans="1:72" x14ac:dyDescent="0.15">
      <c r="A638" t="s">
        <v>72</v>
      </c>
      <c r="B638" t="s">
        <v>9854</v>
      </c>
      <c r="C638" t="s">
        <v>74</v>
      </c>
      <c r="D638" t="s">
        <v>74</v>
      </c>
      <c r="E638" t="s">
        <v>74</v>
      </c>
      <c r="F638" t="s">
        <v>9854</v>
      </c>
      <c r="G638" t="s">
        <v>74</v>
      </c>
      <c r="H638" t="s">
        <v>74</v>
      </c>
      <c r="I638" t="s">
        <v>9855</v>
      </c>
      <c r="J638" t="s">
        <v>4486</v>
      </c>
      <c r="K638" t="s">
        <v>74</v>
      </c>
      <c r="L638" t="s">
        <v>74</v>
      </c>
      <c r="M638" t="s">
        <v>78</v>
      </c>
      <c r="N638" t="s">
        <v>79</v>
      </c>
      <c r="O638" t="s">
        <v>74</v>
      </c>
      <c r="P638" t="s">
        <v>74</v>
      </c>
      <c r="Q638" t="s">
        <v>74</v>
      </c>
      <c r="R638" t="s">
        <v>74</v>
      </c>
      <c r="S638" t="s">
        <v>74</v>
      </c>
      <c r="T638" t="s">
        <v>9856</v>
      </c>
      <c r="U638" t="s">
        <v>9857</v>
      </c>
      <c r="V638" t="s">
        <v>9858</v>
      </c>
      <c r="W638" t="s">
        <v>9859</v>
      </c>
      <c r="X638" t="s">
        <v>9860</v>
      </c>
      <c r="Y638" t="s">
        <v>9861</v>
      </c>
      <c r="Z638" t="s">
        <v>8621</v>
      </c>
      <c r="AA638" t="s">
        <v>9862</v>
      </c>
      <c r="AB638" t="s">
        <v>9863</v>
      </c>
      <c r="AC638" t="s">
        <v>9864</v>
      </c>
      <c r="AD638" t="s">
        <v>1328</v>
      </c>
      <c r="AE638" t="s">
        <v>74</v>
      </c>
      <c r="AF638" t="s">
        <v>74</v>
      </c>
      <c r="AG638">
        <v>18</v>
      </c>
      <c r="AH638">
        <v>16</v>
      </c>
      <c r="AI638">
        <v>16</v>
      </c>
      <c r="AJ638">
        <v>0</v>
      </c>
      <c r="AK638">
        <v>1</v>
      </c>
      <c r="AL638" t="s">
        <v>1139</v>
      </c>
      <c r="AM638" t="s">
        <v>476</v>
      </c>
      <c r="AN638" t="s">
        <v>1140</v>
      </c>
      <c r="AO638" t="s">
        <v>4490</v>
      </c>
      <c r="AP638" t="s">
        <v>4519</v>
      </c>
      <c r="AQ638" t="s">
        <v>74</v>
      </c>
      <c r="AR638" t="s">
        <v>4491</v>
      </c>
      <c r="AS638" t="s">
        <v>4492</v>
      </c>
      <c r="AT638" t="s">
        <v>9687</v>
      </c>
      <c r="AU638">
        <v>2006</v>
      </c>
      <c r="AV638">
        <v>18</v>
      </c>
      <c r="AW638">
        <v>1</v>
      </c>
      <c r="AX638" t="s">
        <v>74</v>
      </c>
      <c r="AY638" t="s">
        <v>74</v>
      </c>
      <c r="AZ638" t="s">
        <v>74</v>
      </c>
      <c r="BA638" t="s">
        <v>74</v>
      </c>
      <c r="BB638">
        <v>117</v>
      </c>
      <c r="BC638">
        <v>122</v>
      </c>
      <c r="BD638" t="s">
        <v>74</v>
      </c>
      <c r="BE638" t="s">
        <v>9865</v>
      </c>
      <c r="BF638" t="str">
        <f>HYPERLINK("http://dx.doi.org/10.1017/S0954102006000113","http://dx.doi.org/10.1017/S0954102006000113")</f>
        <v>http://dx.doi.org/10.1017/S0954102006000113</v>
      </c>
      <c r="BG638" t="s">
        <v>74</v>
      </c>
      <c r="BH638" t="s">
        <v>74</v>
      </c>
      <c r="BI638">
        <v>6</v>
      </c>
      <c r="BJ638" t="s">
        <v>4494</v>
      </c>
      <c r="BK638" t="s">
        <v>97</v>
      </c>
      <c r="BL638" t="s">
        <v>4495</v>
      </c>
      <c r="BM638" t="s">
        <v>9738</v>
      </c>
      <c r="BN638" t="s">
        <v>74</v>
      </c>
      <c r="BO638" t="s">
        <v>74</v>
      </c>
      <c r="BP638" t="s">
        <v>74</v>
      </c>
      <c r="BQ638" t="s">
        <v>74</v>
      </c>
      <c r="BR638" t="s">
        <v>100</v>
      </c>
      <c r="BS638" t="s">
        <v>9866</v>
      </c>
      <c r="BT638" t="str">
        <f>HYPERLINK("https%3A%2F%2Fwww.webofscience.com%2Fwos%2Fwoscc%2Ffull-record%2FWOS:000235923600012","View Full Record in Web of Science")</f>
        <v>View Full Record in Web of Science</v>
      </c>
    </row>
    <row r="639" spans="1:72" x14ac:dyDescent="0.15">
      <c r="A639" t="s">
        <v>72</v>
      </c>
      <c r="B639" t="s">
        <v>9867</v>
      </c>
      <c r="C639" t="s">
        <v>74</v>
      </c>
      <c r="D639" t="s">
        <v>74</v>
      </c>
      <c r="E639" t="s">
        <v>74</v>
      </c>
      <c r="F639" t="s">
        <v>9867</v>
      </c>
      <c r="G639" t="s">
        <v>74</v>
      </c>
      <c r="H639" t="s">
        <v>74</v>
      </c>
      <c r="I639" t="s">
        <v>9868</v>
      </c>
      <c r="J639" t="s">
        <v>4486</v>
      </c>
      <c r="K639" t="s">
        <v>74</v>
      </c>
      <c r="L639" t="s">
        <v>74</v>
      </c>
      <c r="M639" t="s">
        <v>78</v>
      </c>
      <c r="N639" t="s">
        <v>511</v>
      </c>
      <c r="O639" t="s">
        <v>74</v>
      </c>
      <c r="P639" t="s">
        <v>74</v>
      </c>
      <c r="Q639" t="s">
        <v>74</v>
      </c>
      <c r="R639" t="s">
        <v>74</v>
      </c>
      <c r="S639" t="s">
        <v>74</v>
      </c>
      <c r="T639" t="s">
        <v>9869</v>
      </c>
      <c r="U639" t="s">
        <v>9870</v>
      </c>
      <c r="V639" t="s">
        <v>9871</v>
      </c>
      <c r="W639" t="s">
        <v>9872</v>
      </c>
      <c r="X639" t="s">
        <v>9873</v>
      </c>
      <c r="Y639" t="s">
        <v>9874</v>
      </c>
      <c r="Z639" t="s">
        <v>9875</v>
      </c>
      <c r="AA639" t="s">
        <v>9876</v>
      </c>
      <c r="AB639" t="s">
        <v>9877</v>
      </c>
      <c r="AC639" t="s">
        <v>9878</v>
      </c>
      <c r="AD639" t="s">
        <v>1328</v>
      </c>
      <c r="AE639" t="s">
        <v>74</v>
      </c>
      <c r="AF639" t="s">
        <v>74</v>
      </c>
      <c r="AG639">
        <v>164</v>
      </c>
      <c r="AH639">
        <v>1</v>
      </c>
      <c r="AI639">
        <v>1</v>
      </c>
      <c r="AJ639">
        <v>0</v>
      </c>
      <c r="AK639">
        <v>8</v>
      </c>
      <c r="AL639" t="s">
        <v>1139</v>
      </c>
      <c r="AM639" t="s">
        <v>476</v>
      </c>
      <c r="AN639" t="s">
        <v>1140</v>
      </c>
      <c r="AO639" t="s">
        <v>4490</v>
      </c>
      <c r="AP639" t="s">
        <v>4519</v>
      </c>
      <c r="AQ639" t="s">
        <v>74</v>
      </c>
      <c r="AR639" t="s">
        <v>4491</v>
      </c>
      <c r="AS639" t="s">
        <v>4492</v>
      </c>
      <c r="AT639" t="s">
        <v>9687</v>
      </c>
      <c r="AU639">
        <v>2006</v>
      </c>
      <c r="AV639">
        <v>18</v>
      </c>
      <c r="AW639">
        <v>1</v>
      </c>
      <c r="AX639" t="s">
        <v>74</v>
      </c>
      <c r="AY639" t="s">
        <v>74</v>
      </c>
      <c r="AZ639" t="s">
        <v>74</v>
      </c>
      <c r="BA639" t="s">
        <v>74</v>
      </c>
      <c r="BB639">
        <v>123</v>
      </c>
      <c r="BC639">
        <v>139</v>
      </c>
      <c r="BD639" t="s">
        <v>74</v>
      </c>
      <c r="BE639" t="s">
        <v>9879</v>
      </c>
      <c r="BF639" t="str">
        <f>HYPERLINK("http://dx.doi.org/10.1017/S0954102006000125","http://dx.doi.org/10.1017/S0954102006000125")</f>
        <v>http://dx.doi.org/10.1017/S0954102006000125</v>
      </c>
      <c r="BG639" t="s">
        <v>74</v>
      </c>
      <c r="BH639" t="s">
        <v>74</v>
      </c>
      <c r="BI639">
        <v>17</v>
      </c>
      <c r="BJ639" t="s">
        <v>4494</v>
      </c>
      <c r="BK639" t="s">
        <v>97</v>
      </c>
      <c r="BL639" t="s">
        <v>4495</v>
      </c>
      <c r="BM639" t="s">
        <v>9738</v>
      </c>
      <c r="BN639" t="s">
        <v>74</v>
      </c>
      <c r="BO639" t="s">
        <v>74</v>
      </c>
      <c r="BP639" t="s">
        <v>74</v>
      </c>
      <c r="BQ639" t="s">
        <v>74</v>
      </c>
      <c r="BR639" t="s">
        <v>100</v>
      </c>
      <c r="BS639" t="s">
        <v>9880</v>
      </c>
      <c r="BT639" t="str">
        <f>HYPERLINK("https%3A%2F%2Fwww.webofscience.com%2Fwos%2Fwoscc%2Ffull-record%2FWOS:000235923600013","View Full Record in Web of Science")</f>
        <v>View Full Record in Web of Science</v>
      </c>
    </row>
    <row r="640" spans="1:72" x14ac:dyDescent="0.15">
      <c r="A640" t="s">
        <v>72</v>
      </c>
      <c r="B640" t="s">
        <v>9881</v>
      </c>
      <c r="C640" t="s">
        <v>74</v>
      </c>
      <c r="D640" t="s">
        <v>74</v>
      </c>
      <c r="E640" t="s">
        <v>74</v>
      </c>
      <c r="F640" t="s">
        <v>9881</v>
      </c>
      <c r="G640" t="s">
        <v>74</v>
      </c>
      <c r="H640" t="s">
        <v>74</v>
      </c>
      <c r="I640" t="s">
        <v>9882</v>
      </c>
      <c r="J640" t="s">
        <v>4486</v>
      </c>
      <c r="K640" t="s">
        <v>74</v>
      </c>
      <c r="L640" t="s">
        <v>74</v>
      </c>
      <c r="M640" t="s">
        <v>78</v>
      </c>
      <c r="N640" t="s">
        <v>79</v>
      </c>
      <c r="O640" t="s">
        <v>74</v>
      </c>
      <c r="P640" t="s">
        <v>74</v>
      </c>
      <c r="Q640" t="s">
        <v>74</v>
      </c>
      <c r="R640" t="s">
        <v>74</v>
      </c>
      <c r="S640" t="s">
        <v>74</v>
      </c>
      <c r="T640" t="s">
        <v>9883</v>
      </c>
      <c r="U640" t="s">
        <v>9884</v>
      </c>
      <c r="V640" t="s">
        <v>9885</v>
      </c>
      <c r="W640" t="s">
        <v>9886</v>
      </c>
      <c r="X640" t="s">
        <v>9887</v>
      </c>
      <c r="Y640" t="s">
        <v>9888</v>
      </c>
      <c r="Z640" t="s">
        <v>9889</v>
      </c>
      <c r="AA640" t="s">
        <v>74</v>
      </c>
      <c r="AB640" t="s">
        <v>74</v>
      </c>
      <c r="AC640" t="s">
        <v>74</v>
      </c>
      <c r="AD640" t="s">
        <v>74</v>
      </c>
      <c r="AE640" t="s">
        <v>74</v>
      </c>
      <c r="AF640" t="s">
        <v>74</v>
      </c>
      <c r="AG640">
        <v>32</v>
      </c>
      <c r="AH640">
        <v>6</v>
      </c>
      <c r="AI640">
        <v>7</v>
      </c>
      <c r="AJ640">
        <v>0</v>
      </c>
      <c r="AK640">
        <v>4</v>
      </c>
      <c r="AL640" t="s">
        <v>1139</v>
      </c>
      <c r="AM640" t="s">
        <v>476</v>
      </c>
      <c r="AN640" t="s">
        <v>1140</v>
      </c>
      <c r="AO640" t="s">
        <v>4490</v>
      </c>
      <c r="AP640" t="s">
        <v>4519</v>
      </c>
      <c r="AQ640" t="s">
        <v>74</v>
      </c>
      <c r="AR640" t="s">
        <v>4491</v>
      </c>
      <c r="AS640" t="s">
        <v>4492</v>
      </c>
      <c r="AT640" t="s">
        <v>9687</v>
      </c>
      <c r="AU640">
        <v>2006</v>
      </c>
      <c r="AV640">
        <v>18</v>
      </c>
      <c r="AW640">
        <v>1</v>
      </c>
      <c r="AX640" t="s">
        <v>74</v>
      </c>
      <c r="AY640" t="s">
        <v>74</v>
      </c>
      <c r="AZ640" t="s">
        <v>74</v>
      </c>
      <c r="BA640" t="s">
        <v>74</v>
      </c>
      <c r="BB640">
        <v>141</v>
      </c>
      <c r="BC640">
        <v>154</v>
      </c>
      <c r="BD640" t="s">
        <v>74</v>
      </c>
      <c r="BE640" t="s">
        <v>9890</v>
      </c>
      <c r="BF640" t="str">
        <f>HYPERLINK("http://dx.doi.org/10.1017/S0954102006000137","http://dx.doi.org/10.1017/S0954102006000137")</f>
        <v>http://dx.doi.org/10.1017/S0954102006000137</v>
      </c>
      <c r="BG640" t="s">
        <v>74</v>
      </c>
      <c r="BH640" t="s">
        <v>74</v>
      </c>
      <c r="BI640">
        <v>14</v>
      </c>
      <c r="BJ640" t="s">
        <v>4494</v>
      </c>
      <c r="BK640" t="s">
        <v>97</v>
      </c>
      <c r="BL640" t="s">
        <v>4495</v>
      </c>
      <c r="BM640" t="s">
        <v>9738</v>
      </c>
      <c r="BN640" t="s">
        <v>74</v>
      </c>
      <c r="BO640" t="s">
        <v>74</v>
      </c>
      <c r="BP640" t="s">
        <v>74</v>
      </c>
      <c r="BQ640" t="s">
        <v>74</v>
      </c>
      <c r="BR640" t="s">
        <v>100</v>
      </c>
      <c r="BS640" t="s">
        <v>9891</v>
      </c>
      <c r="BT640" t="str">
        <f>HYPERLINK("https%3A%2F%2Fwww.webofscience.com%2Fwos%2Fwoscc%2Ffull-record%2FWOS:000235923600014","View Full Record in Web of Science")</f>
        <v>View Full Record in Web of Science</v>
      </c>
    </row>
    <row r="641" spans="1:72" x14ac:dyDescent="0.15">
      <c r="A641" t="s">
        <v>72</v>
      </c>
      <c r="B641" t="s">
        <v>9892</v>
      </c>
      <c r="C641" t="s">
        <v>74</v>
      </c>
      <c r="D641" t="s">
        <v>74</v>
      </c>
      <c r="E641" t="s">
        <v>74</v>
      </c>
      <c r="F641" t="s">
        <v>9892</v>
      </c>
      <c r="G641" t="s">
        <v>74</v>
      </c>
      <c r="H641" t="s">
        <v>74</v>
      </c>
      <c r="I641" t="s">
        <v>9893</v>
      </c>
      <c r="J641" t="s">
        <v>9894</v>
      </c>
      <c r="K641" t="s">
        <v>74</v>
      </c>
      <c r="L641" t="s">
        <v>74</v>
      </c>
      <c r="M641" t="s">
        <v>78</v>
      </c>
      <c r="N641" t="s">
        <v>79</v>
      </c>
      <c r="O641" t="s">
        <v>74</v>
      </c>
      <c r="P641" t="s">
        <v>74</v>
      </c>
      <c r="Q641" t="s">
        <v>74</v>
      </c>
      <c r="R641" t="s">
        <v>74</v>
      </c>
      <c r="S641" t="s">
        <v>74</v>
      </c>
      <c r="T641" t="s">
        <v>9895</v>
      </c>
      <c r="U641" t="s">
        <v>9896</v>
      </c>
      <c r="V641" t="s">
        <v>9897</v>
      </c>
      <c r="W641" t="s">
        <v>9898</v>
      </c>
      <c r="X641" t="s">
        <v>4800</v>
      </c>
      <c r="Y641" t="s">
        <v>9899</v>
      </c>
      <c r="Z641" t="s">
        <v>9900</v>
      </c>
      <c r="AA641" t="s">
        <v>9901</v>
      </c>
      <c r="AB641" t="s">
        <v>9902</v>
      </c>
      <c r="AC641" t="s">
        <v>74</v>
      </c>
      <c r="AD641" t="s">
        <v>74</v>
      </c>
      <c r="AE641" t="s">
        <v>74</v>
      </c>
      <c r="AF641" t="s">
        <v>74</v>
      </c>
      <c r="AG641">
        <v>35</v>
      </c>
      <c r="AH641">
        <v>14</v>
      </c>
      <c r="AI641">
        <v>15</v>
      </c>
      <c r="AJ641">
        <v>0</v>
      </c>
      <c r="AK641">
        <v>15</v>
      </c>
      <c r="AL641" t="s">
        <v>115</v>
      </c>
      <c r="AM641" t="s">
        <v>116</v>
      </c>
      <c r="AN641" t="s">
        <v>117</v>
      </c>
      <c r="AO641" t="s">
        <v>9903</v>
      </c>
      <c r="AP641" t="s">
        <v>9904</v>
      </c>
      <c r="AQ641" t="s">
        <v>74</v>
      </c>
      <c r="AR641" t="s">
        <v>9905</v>
      </c>
      <c r="AS641" t="s">
        <v>9906</v>
      </c>
      <c r="AT641" t="s">
        <v>9907</v>
      </c>
      <c r="AU641">
        <v>2006</v>
      </c>
      <c r="AV641">
        <v>16</v>
      </c>
      <c r="AW641">
        <v>2</v>
      </c>
      <c r="AX641" t="s">
        <v>74</v>
      </c>
      <c r="AY641" t="s">
        <v>74</v>
      </c>
      <c r="AZ641" t="s">
        <v>74</v>
      </c>
      <c r="BA641" t="s">
        <v>74</v>
      </c>
      <c r="BB641">
        <v>133</v>
      </c>
      <c r="BC641">
        <v>146</v>
      </c>
      <c r="BD641" t="s">
        <v>74</v>
      </c>
      <c r="BE641" t="s">
        <v>9908</v>
      </c>
      <c r="BF641" t="str">
        <f>HYPERLINK("http://dx.doi.org/10.1002/aqc.709","http://dx.doi.org/10.1002/aqc.709")</f>
        <v>http://dx.doi.org/10.1002/aqc.709</v>
      </c>
      <c r="BG641" t="s">
        <v>74</v>
      </c>
      <c r="BH641" t="s">
        <v>74</v>
      </c>
      <c r="BI641">
        <v>14</v>
      </c>
      <c r="BJ641" t="s">
        <v>9909</v>
      </c>
      <c r="BK641" t="s">
        <v>97</v>
      </c>
      <c r="BL641" t="s">
        <v>9910</v>
      </c>
      <c r="BM641" t="s">
        <v>9911</v>
      </c>
      <c r="BN641" t="s">
        <v>74</v>
      </c>
      <c r="BO641" t="s">
        <v>460</v>
      </c>
      <c r="BP641" t="s">
        <v>74</v>
      </c>
      <c r="BQ641" t="s">
        <v>74</v>
      </c>
      <c r="BR641" t="s">
        <v>100</v>
      </c>
      <c r="BS641" t="s">
        <v>9912</v>
      </c>
      <c r="BT641" t="str">
        <f>HYPERLINK("https%3A%2F%2Fwww.webofscience.com%2Fwos%2Fwoscc%2Ffull-record%2FWOS:000236512800003","View Full Record in Web of Science")</f>
        <v>View Full Record in Web of Science</v>
      </c>
    </row>
    <row r="642" spans="1:72" x14ac:dyDescent="0.15">
      <c r="A642" t="s">
        <v>72</v>
      </c>
      <c r="B642" t="s">
        <v>9913</v>
      </c>
      <c r="C642" t="s">
        <v>74</v>
      </c>
      <c r="D642" t="s">
        <v>74</v>
      </c>
      <c r="E642" t="s">
        <v>74</v>
      </c>
      <c r="F642" t="s">
        <v>9914</v>
      </c>
      <c r="G642" t="s">
        <v>74</v>
      </c>
      <c r="H642" t="s">
        <v>74</v>
      </c>
      <c r="I642" t="s">
        <v>9915</v>
      </c>
      <c r="J642" t="s">
        <v>9916</v>
      </c>
      <c r="K642" t="s">
        <v>74</v>
      </c>
      <c r="L642" t="s">
        <v>74</v>
      </c>
      <c r="M642" t="s">
        <v>78</v>
      </c>
      <c r="N642" t="s">
        <v>79</v>
      </c>
      <c r="O642" t="s">
        <v>74</v>
      </c>
      <c r="P642" t="s">
        <v>74</v>
      </c>
      <c r="Q642" t="s">
        <v>74</v>
      </c>
      <c r="R642" t="s">
        <v>74</v>
      </c>
      <c r="S642" t="s">
        <v>74</v>
      </c>
      <c r="T642" t="s">
        <v>9917</v>
      </c>
      <c r="U642" t="s">
        <v>74</v>
      </c>
      <c r="V642" t="s">
        <v>9918</v>
      </c>
      <c r="W642" t="s">
        <v>9919</v>
      </c>
      <c r="X642" t="s">
        <v>9920</v>
      </c>
      <c r="Y642" t="s">
        <v>9921</v>
      </c>
      <c r="Z642" t="s">
        <v>9922</v>
      </c>
      <c r="AA642" t="s">
        <v>74</v>
      </c>
      <c r="AB642" t="s">
        <v>74</v>
      </c>
      <c r="AC642" t="s">
        <v>9923</v>
      </c>
      <c r="AD642" t="s">
        <v>9924</v>
      </c>
      <c r="AE642" t="s">
        <v>9925</v>
      </c>
      <c r="AF642" t="s">
        <v>74</v>
      </c>
      <c r="AG642">
        <v>25</v>
      </c>
      <c r="AH642">
        <v>6</v>
      </c>
      <c r="AI642">
        <v>8</v>
      </c>
      <c r="AJ642">
        <v>0</v>
      </c>
      <c r="AK642">
        <v>0</v>
      </c>
      <c r="AL642" t="s">
        <v>9926</v>
      </c>
      <c r="AM642" t="s">
        <v>9727</v>
      </c>
      <c r="AN642" t="s">
        <v>9927</v>
      </c>
      <c r="AO642" t="s">
        <v>9928</v>
      </c>
      <c r="AP642" t="s">
        <v>9929</v>
      </c>
      <c r="AQ642" t="s">
        <v>74</v>
      </c>
      <c r="AR642" t="s">
        <v>9930</v>
      </c>
      <c r="AS642" t="s">
        <v>9931</v>
      </c>
      <c r="AT642" t="s">
        <v>9687</v>
      </c>
      <c r="AU642">
        <v>2006</v>
      </c>
      <c r="AV642">
        <v>41</v>
      </c>
      <c r="AW642">
        <v>1</v>
      </c>
      <c r="AX642" t="s">
        <v>74</v>
      </c>
      <c r="AY642" t="s">
        <v>74</v>
      </c>
      <c r="AZ642" t="s">
        <v>74</v>
      </c>
      <c r="BA642" t="s">
        <v>74</v>
      </c>
      <c r="BB642">
        <v>43</v>
      </c>
      <c r="BC642">
        <v>56</v>
      </c>
      <c r="BD642" t="s">
        <v>74</v>
      </c>
      <c r="BE642" t="s">
        <v>9932</v>
      </c>
      <c r="BF642" t="str">
        <f>HYPERLINK("http://dx.doi.org/10.2478/v10018-007-0005-5","http://dx.doi.org/10.2478/v10018-007-0005-5")</f>
        <v>http://dx.doi.org/10.2478/v10018-007-0005-5</v>
      </c>
      <c r="BG642" t="s">
        <v>74</v>
      </c>
      <c r="BH642" t="s">
        <v>74</v>
      </c>
      <c r="BI642">
        <v>14</v>
      </c>
      <c r="BJ642" t="s">
        <v>1637</v>
      </c>
      <c r="BK642" t="s">
        <v>3112</v>
      </c>
      <c r="BL642" t="s">
        <v>1637</v>
      </c>
      <c r="BM642" t="s">
        <v>9933</v>
      </c>
      <c r="BN642" t="s">
        <v>74</v>
      </c>
      <c r="BO642" t="s">
        <v>460</v>
      </c>
      <c r="BP642" t="s">
        <v>74</v>
      </c>
      <c r="BQ642" t="s">
        <v>74</v>
      </c>
      <c r="BR642" t="s">
        <v>100</v>
      </c>
      <c r="BS642" t="s">
        <v>9934</v>
      </c>
      <c r="BT642" t="str">
        <f>HYPERLINK("https%3A%2F%2Fwww.webofscience.com%2Fwos%2Fwoscc%2Ffull-record%2FWOS:000213488700005","View Full Record in Web of Science")</f>
        <v>View Full Record in Web of Science</v>
      </c>
    </row>
    <row r="643" spans="1:72" x14ac:dyDescent="0.15">
      <c r="A643" t="s">
        <v>72</v>
      </c>
      <c r="B643" t="s">
        <v>9935</v>
      </c>
      <c r="C643" t="s">
        <v>74</v>
      </c>
      <c r="D643" t="s">
        <v>74</v>
      </c>
      <c r="E643" t="s">
        <v>74</v>
      </c>
      <c r="F643" t="s">
        <v>9935</v>
      </c>
      <c r="G643" t="s">
        <v>74</v>
      </c>
      <c r="H643" t="s">
        <v>74</v>
      </c>
      <c r="I643" t="s">
        <v>9936</v>
      </c>
      <c r="J643" t="s">
        <v>9937</v>
      </c>
      <c r="K643" t="s">
        <v>74</v>
      </c>
      <c r="L643" t="s">
        <v>74</v>
      </c>
      <c r="M643" t="s">
        <v>78</v>
      </c>
      <c r="N643" t="s">
        <v>79</v>
      </c>
      <c r="O643" t="s">
        <v>74</v>
      </c>
      <c r="P643" t="s">
        <v>74</v>
      </c>
      <c r="Q643" t="s">
        <v>74</v>
      </c>
      <c r="R643" t="s">
        <v>74</v>
      </c>
      <c r="S643" t="s">
        <v>74</v>
      </c>
      <c r="T643" t="s">
        <v>74</v>
      </c>
      <c r="U643" t="s">
        <v>9938</v>
      </c>
      <c r="V643" t="s">
        <v>9939</v>
      </c>
      <c r="W643" t="s">
        <v>2646</v>
      </c>
      <c r="X643" t="s">
        <v>407</v>
      </c>
      <c r="Y643" t="s">
        <v>9940</v>
      </c>
      <c r="Z643" t="s">
        <v>9941</v>
      </c>
      <c r="AA643" t="s">
        <v>74</v>
      </c>
      <c r="AB643" t="s">
        <v>74</v>
      </c>
      <c r="AC643" t="s">
        <v>8881</v>
      </c>
      <c r="AD643" t="s">
        <v>1328</v>
      </c>
      <c r="AE643" t="s">
        <v>74</v>
      </c>
      <c r="AF643" t="s">
        <v>74</v>
      </c>
      <c r="AG643">
        <v>24</v>
      </c>
      <c r="AH643">
        <v>10</v>
      </c>
      <c r="AI643">
        <v>10</v>
      </c>
      <c r="AJ643">
        <v>0</v>
      </c>
      <c r="AK643">
        <v>5</v>
      </c>
      <c r="AL643" t="s">
        <v>9942</v>
      </c>
      <c r="AM643" t="s">
        <v>2652</v>
      </c>
      <c r="AN643" t="s">
        <v>9943</v>
      </c>
      <c r="AO643" t="s">
        <v>9944</v>
      </c>
      <c r="AP643" t="s">
        <v>9945</v>
      </c>
      <c r="AQ643" t="s">
        <v>74</v>
      </c>
      <c r="AR643" t="s">
        <v>9946</v>
      </c>
      <c r="AS643" t="s">
        <v>9947</v>
      </c>
      <c r="AT643" t="s">
        <v>9687</v>
      </c>
      <c r="AU643">
        <v>2006</v>
      </c>
      <c r="AV643">
        <v>44</v>
      </c>
      <c r="AW643">
        <v>1</v>
      </c>
      <c r="AX643" t="s">
        <v>74</v>
      </c>
      <c r="AY643" t="s">
        <v>74</v>
      </c>
      <c r="AZ643" t="s">
        <v>74</v>
      </c>
      <c r="BA643" t="s">
        <v>74</v>
      </c>
      <c r="BB643">
        <v>83</v>
      </c>
      <c r="BC643">
        <v>97</v>
      </c>
      <c r="BD643" t="s">
        <v>74</v>
      </c>
      <c r="BE643" t="s">
        <v>9948</v>
      </c>
      <c r="BF643" t="str">
        <f>HYPERLINK("http://dx.doi.org/10.3137/ao.440106","http://dx.doi.org/10.3137/ao.440106")</f>
        <v>http://dx.doi.org/10.3137/ao.440106</v>
      </c>
      <c r="BG643" t="s">
        <v>74</v>
      </c>
      <c r="BH643" t="s">
        <v>74</v>
      </c>
      <c r="BI643">
        <v>15</v>
      </c>
      <c r="BJ643" t="s">
        <v>9949</v>
      </c>
      <c r="BK643" t="s">
        <v>97</v>
      </c>
      <c r="BL643" t="s">
        <v>9949</v>
      </c>
      <c r="BM643" t="s">
        <v>9950</v>
      </c>
      <c r="BN643" t="s">
        <v>74</v>
      </c>
      <c r="BO643" t="s">
        <v>74</v>
      </c>
      <c r="BP643" t="s">
        <v>74</v>
      </c>
      <c r="BQ643" t="s">
        <v>74</v>
      </c>
      <c r="BR643" t="s">
        <v>100</v>
      </c>
      <c r="BS643" t="s">
        <v>9951</v>
      </c>
      <c r="BT643" t="str">
        <f>HYPERLINK("https%3A%2F%2Fwww.webofscience.com%2Fwos%2Fwoscc%2Ffull-record%2FWOS:000236667300007","View Full Record in Web of Science")</f>
        <v>View Full Record in Web of Science</v>
      </c>
    </row>
    <row r="644" spans="1:72" x14ac:dyDescent="0.15">
      <c r="A644" t="s">
        <v>72</v>
      </c>
      <c r="B644" t="s">
        <v>9952</v>
      </c>
      <c r="C644" t="s">
        <v>74</v>
      </c>
      <c r="D644" t="s">
        <v>74</v>
      </c>
      <c r="E644" t="s">
        <v>74</v>
      </c>
      <c r="F644" t="s">
        <v>9952</v>
      </c>
      <c r="G644" t="s">
        <v>74</v>
      </c>
      <c r="H644" t="s">
        <v>74</v>
      </c>
      <c r="I644" t="s">
        <v>9953</v>
      </c>
      <c r="J644" t="s">
        <v>9954</v>
      </c>
      <c r="K644" t="s">
        <v>74</v>
      </c>
      <c r="L644" t="s">
        <v>74</v>
      </c>
      <c r="M644" t="s">
        <v>78</v>
      </c>
      <c r="N644" t="s">
        <v>79</v>
      </c>
      <c r="O644" t="s">
        <v>74</v>
      </c>
      <c r="P644" t="s">
        <v>74</v>
      </c>
      <c r="Q644" t="s">
        <v>74</v>
      </c>
      <c r="R644" t="s">
        <v>74</v>
      </c>
      <c r="S644" t="s">
        <v>74</v>
      </c>
      <c r="T644" t="s">
        <v>9955</v>
      </c>
      <c r="U644" t="s">
        <v>9956</v>
      </c>
      <c r="V644" t="s">
        <v>9957</v>
      </c>
      <c r="W644" t="s">
        <v>9958</v>
      </c>
      <c r="X644" t="s">
        <v>6405</v>
      </c>
      <c r="Y644" t="s">
        <v>9959</v>
      </c>
      <c r="Z644" t="s">
        <v>6407</v>
      </c>
      <c r="AA644" t="s">
        <v>9960</v>
      </c>
      <c r="AB644" t="s">
        <v>9961</v>
      </c>
      <c r="AC644" t="s">
        <v>74</v>
      </c>
      <c r="AD644" t="s">
        <v>74</v>
      </c>
      <c r="AE644" t="s">
        <v>74</v>
      </c>
      <c r="AF644" t="s">
        <v>74</v>
      </c>
      <c r="AG644">
        <v>53</v>
      </c>
      <c r="AH644">
        <v>44</v>
      </c>
      <c r="AI644">
        <v>52</v>
      </c>
      <c r="AJ644">
        <v>0</v>
      </c>
      <c r="AK644">
        <v>13</v>
      </c>
      <c r="AL644" t="s">
        <v>9962</v>
      </c>
      <c r="AM644" t="s">
        <v>9963</v>
      </c>
      <c r="AN644" t="s">
        <v>9964</v>
      </c>
      <c r="AO644" t="s">
        <v>9965</v>
      </c>
      <c r="AP644" t="s">
        <v>9966</v>
      </c>
      <c r="AQ644" t="s">
        <v>74</v>
      </c>
      <c r="AR644" t="s">
        <v>9967</v>
      </c>
      <c r="AS644" t="s">
        <v>9968</v>
      </c>
      <c r="AT644" t="s">
        <v>9907</v>
      </c>
      <c r="AU644">
        <v>2006</v>
      </c>
      <c r="AV644">
        <v>17</v>
      </c>
      <c r="AW644">
        <v>2</v>
      </c>
      <c r="AX644" t="s">
        <v>74</v>
      </c>
      <c r="AY644" t="s">
        <v>74</v>
      </c>
      <c r="AZ644" t="s">
        <v>74</v>
      </c>
      <c r="BA644" t="s">
        <v>74</v>
      </c>
      <c r="BB644">
        <v>270</v>
      </c>
      <c r="BC644">
        <v>276</v>
      </c>
      <c r="BD644" t="s">
        <v>74</v>
      </c>
      <c r="BE644" t="s">
        <v>9969</v>
      </c>
      <c r="BF644" t="str">
        <f>HYPERLINK("http://dx.doi.org/10.1093/beheco/arj025","http://dx.doi.org/10.1093/beheco/arj025")</f>
        <v>http://dx.doi.org/10.1093/beheco/arj025</v>
      </c>
      <c r="BG644" t="s">
        <v>74</v>
      </c>
      <c r="BH644" t="s">
        <v>74</v>
      </c>
      <c r="BI644">
        <v>7</v>
      </c>
      <c r="BJ644" t="s">
        <v>9970</v>
      </c>
      <c r="BK644" t="s">
        <v>97</v>
      </c>
      <c r="BL644" t="s">
        <v>9971</v>
      </c>
      <c r="BM644" t="s">
        <v>9972</v>
      </c>
      <c r="BN644" t="s">
        <v>74</v>
      </c>
      <c r="BO644" t="s">
        <v>460</v>
      </c>
      <c r="BP644" t="s">
        <v>74</v>
      </c>
      <c r="BQ644" t="s">
        <v>74</v>
      </c>
      <c r="BR644" t="s">
        <v>100</v>
      </c>
      <c r="BS644" t="s">
        <v>9973</v>
      </c>
      <c r="BT644" t="str">
        <f>HYPERLINK("https%3A%2F%2Fwww.webofscience.com%2Fwos%2Fwoscc%2Ffull-record%2FWOS:000235451700016","View Full Record in Web of Science")</f>
        <v>View Full Record in Web of Science</v>
      </c>
    </row>
    <row r="645" spans="1:72" x14ac:dyDescent="0.15">
      <c r="A645" t="s">
        <v>72</v>
      </c>
      <c r="B645" t="s">
        <v>9974</v>
      </c>
      <c r="C645" t="s">
        <v>74</v>
      </c>
      <c r="D645" t="s">
        <v>74</v>
      </c>
      <c r="E645" t="s">
        <v>74</v>
      </c>
      <c r="F645" t="s">
        <v>9975</v>
      </c>
      <c r="G645" t="s">
        <v>74</v>
      </c>
      <c r="H645" t="s">
        <v>74</v>
      </c>
      <c r="I645" t="s">
        <v>9976</v>
      </c>
      <c r="J645" t="s">
        <v>9977</v>
      </c>
      <c r="K645" t="s">
        <v>74</v>
      </c>
      <c r="L645" t="s">
        <v>74</v>
      </c>
      <c r="M645" t="s">
        <v>78</v>
      </c>
      <c r="N645" t="s">
        <v>79</v>
      </c>
      <c r="O645" t="s">
        <v>74</v>
      </c>
      <c r="P645" t="s">
        <v>74</v>
      </c>
      <c r="Q645" t="s">
        <v>74</v>
      </c>
      <c r="R645" t="s">
        <v>74</v>
      </c>
      <c r="S645" t="s">
        <v>74</v>
      </c>
      <c r="T645" t="s">
        <v>9978</v>
      </c>
      <c r="U645" t="s">
        <v>9979</v>
      </c>
      <c r="V645" t="s">
        <v>9980</v>
      </c>
      <c r="W645" t="s">
        <v>9981</v>
      </c>
      <c r="X645" t="s">
        <v>9982</v>
      </c>
      <c r="Y645" t="s">
        <v>9983</v>
      </c>
      <c r="Z645" t="s">
        <v>9984</v>
      </c>
      <c r="AA645" t="s">
        <v>9985</v>
      </c>
      <c r="AB645" t="s">
        <v>9986</v>
      </c>
      <c r="AC645" t="s">
        <v>74</v>
      </c>
      <c r="AD645" t="s">
        <v>74</v>
      </c>
      <c r="AE645" t="s">
        <v>74</v>
      </c>
      <c r="AF645" t="s">
        <v>74</v>
      </c>
      <c r="AG645">
        <v>42</v>
      </c>
      <c r="AH645">
        <v>12</v>
      </c>
      <c r="AI645">
        <v>12</v>
      </c>
      <c r="AJ645">
        <v>1</v>
      </c>
      <c r="AK645">
        <v>10</v>
      </c>
      <c r="AL645" t="s">
        <v>994</v>
      </c>
      <c r="AM645" t="s">
        <v>4805</v>
      </c>
      <c r="AN645" t="s">
        <v>4806</v>
      </c>
      <c r="AO645" t="s">
        <v>9987</v>
      </c>
      <c r="AP645" t="s">
        <v>9988</v>
      </c>
      <c r="AQ645" t="s">
        <v>74</v>
      </c>
      <c r="AR645" t="s">
        <v>9989</v>
      </c>
      <c r="AS645" t="s">
        <v>9990</v>
      </c>
      <c r="AT645" t="s">
        <v>9687</v>
      </c>
      <c r="AU645">
        <v>2006</v>
      </c>
      <c r="AV645">
        <v>118</v>
      </c>
      <c r="AW645">
        <v>3</v>
      </c>
      <c r="AX645" t="s">
        <v>74</v>
      </c>
      <c r="AY645" t="s">
        <v>74</v>
      </c>
      <c r="AZ645" t="s">
        <v>74</v>
      </c>
      <c r="BA645" t="s">
        <v>74</v>
      </c>
      <c r="BB645">
        <v>527</v>
      </c>
      <c r="BC645">
        <v>555</v>
      </c>
      <c r="BD645" t="s">
        <v>74</v>
      </c>
      <c r="BE645" t="s">
        <v>9991</v>
      </c>
      <c r="BF645" t="str">
        <f>HYPERLINK("http://dx.doi.org/10.1007/s10546-005-6433-5","http://dx.doi.org/10.1007/s10546-005-6433-5")</f>
        <v>http://dx.doi.org/10.1007/s10546-005-6433-5</v>
      </c>
      <c r="BG645" t="s">
        <v>74</v>
      </c>
      <c r="BH645" t="s">
        <v>74</v>
      </c>
      <c r="BI645">
        <v>29</v>
      </c>
      <c r="BJ645" t="s">
        <v>869</v>
      </c>
      <c r="BK645" t="s">
        <v>97</v>
      </c>
      <c r="BL645" t="s">
        <v>869</v>
      </c>
      <c r="BM645" t="s">
        <v>9992</v>
      </c>
      <c r="BN645" t="s">
        <v>74</v>
      </c>
      <c r="BO645" t="s">
        <v>74</v>
      </c>
      <c r="BP645" t="s">
        <v>74</v>
      </c>
      <c r="BQ645" t="s">
        <v>74</v>
      </c>
      <c r="BR645" t="s">
        <v>100</v>
      </c>
      <c r="BS645" t="s">
        <v>9993</v>
      </c>
      <c r="BT645" t="str">
        <f>HYPERLINK("https%3A%2F%2Fwww.webofscience.com%2Fwos%2Fwoscc%2Ffull-record%2FWOS:000239148500006","View Full Record in Web of Science")</f>
        <v>View Full Record in Web of Science</v>
      </c>
    </row>
    <row r="646" spans="1:72" x14ac:dyDescent="0.15">
      <c r="A646" t="s">
        <v>72</v>
      </c>
      <c r="B646" t="s">
        <v>9994</v>
      </c>
      <c r="C646" t="s">
        <v>74</v>
      </c>
      <c r="D646" t="s">
        <v>74</v>
      </c>
      <c r="E646" t="s">
        <v>74</v>
      </c>
      <c r="F646" t="s">
        <v>9994</v>
      </c>
      <c r="G646" t="s">
        <v>74</v>
      </c>
      <c r="H646" t="s">
        <v>74</v>
      </c>
      <c r="I646" t="s">
        <v>9995</v>
      </c>
      <c r="J646" t="s">
        <v>9996</v>
      </c>
      <c r="K646" t="s">
        <v>74</v>
      </c>
      <c r="L646" t="s">
        <v>74</v>
      </c>
      <c r="M646" t="s">
        <v>78</v>
      </c>
      <c r="N646" t="s">
        <v>511</v>
      </c>
      <c r="O646" t="s">
        <v>74</v>
      </c>
      <c r="P646" t="s">
        <v>74</v>
      </c>
      <c r="Q646" t="s">
        <v>74</v>
      </c>
      <c r="R646" t="s">
        <v>74</v>
      </c>
      <c r="S646" t="s">
        <v>74</v>
      </c>
      <c r="T646" t="s">
        <v>74</v>
      </c>
      <c r="U646" t="s">
        <v>9997</v>
      </c>
      <c r="V646" t="s">
        <v>74</v>
      </c>
      <c r="W646" t="s">
        <v>9998</v>
      </c>
      <c r="X646" t="s">
        <v>9999</v>
      </c>
      <c r="Y646" t="s">
        <v>10000</v>
      </c>
      <c r="Z646" t="s">
        <v>74</v>
      </c>
      <c r="AA646" t="s">
        <v>10001</v>
      </c>
      <c r="AB646" t="s">
        <v>10002</v>
      </c>
      <c r="AC646" t="s">
        <v>74</v>
      </c>
      <c r="AD646" t="s">
        <v>74</v>
      </c>
      <c r="AE646" t="s">
        <v>74</v>
      </c>
      <c r="AF646" t="s">
        <v>74</v>
      </c>
      <c r="AG646">
        <v>266</v>
      </c>
      <c r="AH646">
        <v>401</v>
      </c>
      <c r="AI646">
        <v>446</v>
      </c>
      <c r="AJ646">
        <v>17</v>
      </c>
      <c r="AK646">
        <v>276</v>
      </c>
      <c r="AL646" t="s">
        <v>6146</v>
      </c>
      <c r="AM646" t="s">
        <v>88</v>
      </c>
      <c r="AN646" t="s">
        <v>6147</v>
      </c>
      <c r="AO646" t="s">
        <v>10003</v>
      </c>
      <c r="AP646" t="s">
        <v>10004</v>
      </c>
      <c r="AQ646" t="s">
        <v>74</v>
      </c>
      <c r="AR646" t="s">
        <v>10005</v>
      </c>
      <c r="AS646" t="s">
        <v>10006</v>
      </c>
      <c r="AT646" t="s">
        <v>9687</v>
      </c>
      <c r="AU646">
        <v>2006</v>
      </c>
      <c r="AV646">
        <v>106</v>
      </c>
      <c r="AW646">
        <v>3</v>
      </c>
      <c r="AX646" t="s">
        <v>74</v>
      </c>
      <c r="AY646" t="s">
        <v>74</v>
      </c>
      <c r="AZ646" t="s">
        <v>74</v>
      </c>
      <c r="BA646" t="s">
        <v>74</v>
      </c>
      <c r="BB646">
        <v>940</v>
      </c>
      <c r="BC646">
        <v>975</v>
      </c>
      <c r="BD646" t="s">
        <v>74</v>
      </c>
      <c r="BE646" t="s">
        <v>10007</v>
      </c>
      <c r="BF646" t="str">
        <f>HYPERLINK("http://dx.doi.org/10.1021/cr020529+","http://dx.doi.org/10.1021/cr020529+")</f>
        <v>http://dx.doi.org/10.1021/cr020529+</v>
      </c>
      <c r="BG646" t="s">
        <v>74</v>
      </c>
      <c r="BH646" t="s">
        <v>74</v>
      </c>
      <c r="BI646">
        <v>36</v>
      </c>
      <c r="BJ646" t="s">
        <v>6350</v>
      </c>
      <c r="BK646" t="s">
        <v>97</v>
      </c>
      <c r="BL646" t="s">
        <v>6352</v>
      </c>
      <c r="BM646" t="s">
        <v>10008</v>
      </c>
      <c r="BN646">
        <v>16522014</v>
      </c>
      <c r="BO646" t="s">
        <v>74</v>
      </c>
      <c r="BP646" t="s">
        <v>74</v>
      </c>
      <c r="BQ646" t="s">
        <v>74</v>
      </c>
      <c r="BR646" t="s">
        <v>100</v>
      </c>
      <c r="BS646" t="s">
        <v>10009</v>
      </c>
      <c r="BT646" t="str">
        <f>HYPERLINK("https%3A%2F%2Fwww.webofscience.com%2Fwos%2Fwoscc%2Ffull-record%2FWOS:000236018800007","View Full Record in Web of Science")</f>
        <v>View Full Record in Web of Science</v>
      </c>
    </row>
    <row r="647" spans="1:72" x14ac:dyDescent="0.15">
      <c r="A647" t="s">
        <v>72</v>
      </c>
      <c r="B647" t="s">
        <v>10010</v>
      </c>
      <c r="C647" t="s">
        <v>74</v>
      </c>
      <c r="D647" t="s">
        <v>74</v>
      </c>
      <c r="E647" t="s">
        <v>74</v>
      </c>
      <c r="F647" t="s">
        <v>10010</v>
      </c>
      <c r="G647" t="s">
        <v>74</v>
      </c>
      <c r="H647" t="s">
        <v>74</v>
      </c>
      <c r="I647" t="s">
        <v>10011</v>
      </c>
      <c r="J647" t="s">
        <v>426</v>
      </c>
      <c r="K647" t="s">
        <v>74</v>
      </c>
      <c r="L647" t="s">
        <v>74</v>
      </c>
      <c r="M647" t="s">
        <v>78</v>
      </c>
      <c r="N647" t="s">
        <v>79</v>
      </c>
      <c r="O647" t="s">
        <v>74</v>
      </c>
      <c r="P647" t="s">
        <v>74</v>
      </c>
      <c r="Q647" t="s">
        <v>74</v>
      </c>
      <c r="R647" t="s">
        <v>74</v>
      </c>
      <c r="S647" t="s">
        <v>74</v>
      </c>
      <c r="T647" t="s">
        <v>10012</v>
      </c>
      <c r="U647" t="s">
        <v>10013</v>
      </c>
      <c r="V647" t="s">
        <v>10014</v>
      </c>
      <c r="W647" t="s">
        <v>10015</v>
      </c>
      <c r="X647" t="s">
        <v>4893</v>
      </c>
      <c r="Y647" t="s">
        <v>10016</v>
      </c>
      <c r="Z647" t="s">
        <v>10017</v>
      </c>
      <c r="AA647" t="s">
        <v>74</v>
      </c>
      <c r="AB647" t="s">
        <v>74</v>
      </c>
      <c r="AC647" t="s">
        <v>74</v>
      </c>
      <c r="AD647" t="s">
        <v>74</v>
      </c>
      <c r="AE647" t="s">
        <v>74</v>
      </c>
      <c r="AF647" t="s">
        <v>74</v>
      </c>
      <c r="AG647">
        <v>14</v>
      </c>
      <c r="AH647">
        <v>64</v>
      </c>
      <c r="AI647">
        <v>71</v>
      </c>
      <c r="AJ647">
        <v>0</v>
      </c>
      <c r="AK647">
        <v>21</v>
      </c>
      <c r="AL647" t="s">
        <v>387</v>
      </c>
      <c r="AM647" t="s">
        <v>388</v>
      </c>
      <c r="AN647" t="s">
        <v>389</v>
      </c>
      <c r="AO647" t="s">
        <v>435</v>
      </c>
      <c r="AP647" t="s">
        <v>74</v>
      </c>
      <c r="AQ647" t="s">
        <v>74</v>
      </c>
      <c r="AR647" t="s">
        <v>426</v>
      </c>
      <c r="AS647" t="s">
        <v>437</v>
      </c>
      <c r="AT647" t="s">
        <v>9687</v>
      </c>
      <c r="AU647">
        <v>2006</v>
      </c>
      <c r="AV647">
        <v>63</v>
      </c>
      <c r="AW647">
        <v>1</v>
      </c>
      <c r="AX647" t="s">
        <v>74</v>
      </c>
      <c r="AY647" t="s">
        <v>74</v>
      </c>
      <c r="AZ647" t="s">
        <v>74</v>
      </c>
      <c r="BA647" t="s">
        <v>74</v>
      </c>
      <c r="BB647">
        <v>89</v>
      </c>
      <c r="BC647">
        <v>98</v>
      </c>
      <c r="BD647" t="s">
        <v>74</v>
      </c>
      <c r="BE647" t="s">
        <v>10018</v>
      </c>
      <c r="BF647" t="str">
        <f>HYPERLINK("http://dx.doi.org/10.1016/j.chemosphere.2005.07.040","http://dx.doi.org/10.1016/j.chemosphere.2005.07.040")</f>
        <v>http://dx.doi.org/10.1016/j.chemosphere.2005.07.040</v>
      </c>
      <c r="BG647" t="s">
        <v>74</v>
      </c>
      <c r="BH647" t="s">
        <v>74</v>
      </c>
      <c r="BI647">
        <v>10</v>
      </c>
      <c r="BJ647" t="s">
        <v>439</v>
      </c>
      <c r="BK647" t="s">
        <v>97</v>
      </c>
      <c r="BL647" t="s">
        <v>420</v>
      </c>
      <c r="BM647" t="s">
        <v>10019</v>
      </c>
      <c r="BN647">
        <v>16169050</v>
      </c>
      <c r="BO647" t="s">
        <v>74</v>
      </c>
      <c r="BP647" t="s">
        <v>74</v>
      </c>
      <c r="BQ647" t="s">
        <v>74</v>
      </c>
      <c r="BR647" t="s">
        <v>100</v>
      </c>
      <c r="BS647" t="s">
        <v>10020</v>
      </c>
      <c r="BT647" t="str">
        <f>HYPERLINK("https%3A%2F%2Fwww.webofscience.com%2Fwos%2Fwoscc%2Ffull-record%2FWOS:000236781700012","View Full Record in Web of Science")</f>
        <v>View Full Record in Web of Science</v>
      </c>
    </row>
    <row r="648" spans="1:72" x14ac:dyDescent="0.15">
      <c r="A648" t="s">
        <v>72</v>
      </c>
      <c r="B648" t="s">
        <v>10021</v>
      </c>
      <c r="C648" t="s">
        <v>74</v>
      </c>
      <c r="D648" t="s">
        <v>74</v>
      </c>
      <c r="E648" t="s">
        <v>74</v>
      </c>
      <c r="F648" t="s">
        <v>10021</v>
      </c>
      <c r="G648" t="s">
        <v>74</v>
      </c>
      <c r="H648" t="s">
        <v>74</v>
      </c>
      <c r="I648" t="s">
        <v>10022</v>
      </c>
      <c r="J648" t="s">
        <v>2663</v>
      </c>
      <c r="K648" t="s">
        <v>74</v>
      </c>
      <c r="L648" t="s">
        <v>74</v>
      </c>
      <c r="M648" t="s">
        <v>78</v>
      </c>
      <c r="N648" t="s">
        <v>79</v>
      </c>
      <c r="O648" t="s">
        <v>74</v>
      </c>
      <c r="P648" t="s">
        <v>74</v>
      </c>
      <c r="Q648" t="s">
        <v>74</v>
      </c>
      <c r="R648" t="s">
        <v>74</v>
      </c>
      <c r="S648" t="s">
        <v>74</v>
      </c>
      <c r="T648" t="s">
        <v>74</v>
      </c>
      <c r="U648" t="s">
        <v>10023</v>
      </c>
      <c r="V648" t="s">
        <v>10024</v>
      </c>
      <c r="W648" t="s">
        <v>10025</v>
      </c>
      <c r="X648" t="s">
        <v>10026</v>
      </c>
      <c r="Y648" t="s">
        <v>10027</v>
      </c>
      <c r="Z648" t="s">
        <v>10028</v>
      </c>
      <c r="AA648" t="s">
        <v>10029</v>
      </c>
      <c r="AB648" t="s">
        <v>10030</v>
      </c>
      <c r="AC648" t="s">
        <v>74</v>
      </c>
      <c r="AD648" t="s">
        <v>74</v>
      </c>
      <c r="AE648" t="s">
        <v>74</v>
      </c>
      <c r="AF648" t="s">
        <v>74</v>
      </c>
      <c r="AG648">
        <v>67</v>
      </c>
      <c r="AH648">
        <v>33</v>
      </c>
      <c r="AI648">
        <v>36</v>
      </c>
      <c r="AJ648">
        <v>0</v>
      </c>
      <c r="AK648">
        <v>2</v>
      </c>
      <c r="AL648" t="s">
        <v>994</v>
      </c>
      <c r="AM648" t="s">
        <v>476</v>
      </c>
      <c r="AN648" t="s">
        <v>1551</v>
      </c>
      <c r="AO648" t="s">
        <v>2671</v>
      </c>
      <c r="AP648" t="s">
        <v>2672</v>
      </c>
      <c r="AQ648" t="s">
        <v>74</v>
      </c>
      <c r="AR648" t="s">
        <v>2673</v>
      </c>
      <c r="AS648" t="s">
        <v>2674</v>
      </c>
      <c r="AT648" t="s">
        <v>9687</v>
      </c>
      <c r="AU648">
        <v>2006</v>
      </c>
      <c r="AV648">
        <v>26</v>
      </c>
      <c r="AW648">
        <v>4</v>
      </c>
      <c r="AX648" t="s">
        <v>74</v>
      </c>
      <c r="AY648" t="s">
        <v>74</v>
      </c>
      <c r="AZ648" t="s">
        <v>74</v>
      </c>
      <c r="BA648" t="s">
        <v>74</v>
      </c>
      <c r="BB648">
        <v>407</v>
      </c>
      <c r="BC648">
        <v>428</v>
      </c>
      <c r="BD648" t="s">
        <v>74</v>
      </c>
      <c r="BE648" t="s">
        <v>10031</v>
      </c>
      <c r="BF648" t="str">
        <f>HYPERLINK("http://dx.doi.org/10.1007/s00382-005-0091-7","http://dx.doi.org/10.1007/s00382-005-0091-7")</f>
        <v>http://dx.doi.org/10.1007/s00382-005-0091-7</v>
      </c>
      <c r="BG648" t="s">
        <v>74</v>
      </c>
      <c r="BH648" t="s">
        <v>74</v>
      </c>
      <c r="BI648">
        <v>22</v>
      </c>
      <c r="BJ648" t="s">
        <v>869</v>
      </c>
      <c r="BK648" t="s">
        <v>97</v>
      </c>
      <c r="BL648" t="s">
        <v>869</v>
      </c>
      <c r="BM648" t="s">
        <v>10032</v>
      </c>
      <c r="BN648" t="s">
        <v>74</v>
      </c>
      <c r="BO648" t="s">
        <v>74</v>
      </c>
      <c r="BP648" t="s">
        <v>74</v>
      </c>
      <c r="BQ648" t="s">
        <v>74</v>
      </c>
      <c r="BR648" t="s">
        <v>100</v>
      </c>
      <c r="BS648" t="s">
        <v>10033</v>
      </c>
      <c r="BT648" t="str">
        <f>HYPERLINK("https%3A%2F%2Fwww.webofscience.com%2Fwos%2Fwoscc%2Ffull-record%2FWOS:000235307400005","View Full Record in Web of Science")</f>
        <v>View Full Record in Web of Science</v>
      </c>
    </row>
    <row r="649" spans="1:72" x14ac:dyDescent="0.15">
      <c r="A649" t="s">
        <v>72</v>
      </c>
      <c r="B649" t="s">
        <v>10034</v>
      </c>
      <c r="C649" t="s">
        <v>74</v>
      </c>
      <c r="D649" t="s">
        <v>74</v>
      </c>
      <c r="E649" t="s">
        <v>74</v>
      </c>
      <c r="F649" t="s">
        <v>10034</v>
      </c>
      <c r="G649" t="s">
        <v>74</v>
      </c>
      <c r="H649" t="s">
        <v>74</v>
      </c>
      <c r="I649" t="s">
        <v>10035</v>
      </c>
      <c r="J649" t="s">
        <v>2699</v>
      </c>
      <c r="K649" t="s">
        <v>74</v>
      </c>
      <c r="L649" t="s">
        <v>74</v>
      </c>
      <c r="M649" t="s">
        <v>78</v>
      </c>
      <c r="N649" t="s">
        <v>79</v>
      </c>
      <c r="O649" t="s">
        <v>74</v>
      </c>
      <c r="P649" t="s">
        <v>74</v>
      </c>
      <c r="Q649" t="s">
        <v>74</v>
      </c>
      <c r="R649" t="s">
        <v>74</v>
      </c>
      <c r="S649" t="s">
        <v>74</v>
      </c>
      <c r="T649" t="s">
        <v>10036</v>
      </c>
      <c r="U649" t="s">
        <v>10037</v>
      </c>
      <c r="V649" t="s">
        <v>10038</v>
      </c>
      <c r="W649" t="s">
        <v>10039</v>
      </c>
      <c r="X649" t="s">
        <v>10040</v>
      </c>
      <c r="Y649" t="s">
        <v>10041</v>
      </c>
      <c r="Z649" t="s">
        <v>10042</v>
      </c>
      <c r="AA649" t="s">
        <v>10043</v>
      </c>
      <c r="AB649" t="s">
        <v>10044</v>
      </c>
      <c r="AC649" t="s">
        <v>10045</v>
      </c>
      <c r="AD649" t="s">
        <v>413</v>
      </c>
      <c r="AE649" t="s">
        <v>74</v>
      </c>
      <c r="AF649" t="s">
        <v>74</v>
      </c>
      <c r="AG649">
        <v>37</v>
      </c>
      <c r="AH649">
        <v>67</v>
      </c>
      <c r="AI649">
        <v>72</v>
      </c>
      <c r="AJ649">
        <v>0</v>
      </c>
      <c r="AK649">
        <v>7</v>
      </c>
      <c r="AL649" t="s">
        <v>387</v>
      </c>
      <c r="AM649" t="s">
        <v>388</v>
      </c>
      <c r="AN649" t="s">
        <v>389</v>
      </c>
      <c r="AO649" t="s">
        <v>2707</v>
      </c>
      <c r="AP649" t="s">
        <v>2731</v>
      </c>
      <c r="AQ649" t="s">
        <v>74</v>
      </c>
      <c r="AR649" t="s">
        <v>2708</v>
      </c>
      <c r="AS649" t="s">
        <v>2709</v>
      </c>
      <c r="AT649" t="s">
        <v>9687</v>
      </c>
      <c r="AU649">
        <v>2006</v>
      </c>
      <c r="AV649">
        <v>53</v>
      </c>
      <c r="AW649">
        <v>3</v>
      </c>
      <c r="AX649" t="s">
        <v>74</v>
      </c>
      <c r="AY649" t="s">
        <v>74</v>
      </c>
      <c r="AZ649" t="s">
        <v>74</v>
      </c>
      <c r="BA649" t="s">
        <v>74</v>
      </c>
      <c r="BB649">
        <v>528</v>
      </c>
      <c r="BC649">
        <v>546</v>
      </c>
      <c r="BD649" t="s">
        <v>74</v>
      </c>
      <c r="BE649" t="s">
        <v>10046</v>
      </c>
      <c r="BF649" t="str">
        <f>HYPERLINK("http://dx.doi.org/10.1016/j.dsr.2005.12.007","http://dx.doi.org/10.1016/j.dsr.2005.12.007")</f>
        <v>http://dx.doi.org/10.1016/j.dsr.2005.12.007</v>
      </c>
      <c r="BG649" t="s">
        <v>74</v>
      </c>
      <c r="BH649" t="s">
        <v>74</v>
      </c>
      <c r="BI649">
        <v>19</v>
      </c>
      <c r="BJ649" t="s">
        <v>1069</v>
      </c>
      <c r="BK649" t="s">
        <v>97</v>
      </c>
      <c r="BL649" t="s">
        <v>1069</v>
      </c>
      <c r="BM649" t="s">
        <v>10047</v>
      </c>
      <c r="BN649" t="s">
        <v>74</v>
      </c>
      <c r="BO649" t="s">
        <v>74</v>
      </c>
      <c r="BP649" t="s">
        <v>74</v>
      </c>
      <c r="BQ649" t="s">
        <v>74</v>
      </c>
      <c r="BR649" t="s">
        <v>100</v>
      </c>
      <c r="BS649" t="s">
        <v>10048</v>
      </c>
      <c r="BT649" t="str">
        <f>HYPERLINK("https%3A%2F%2Fwww.webofscience.com%2Fwos%2Fwoscc%2Ffull-record%2FWOS:000237169200008","View Full Record in Web of Science")</f>
        <v>View Full Record in Web of Science</v>
      </c>
    </row>
    <row r="650" spans="1:72" x14ac:dyDescent="0.15">
      <c r="A650" t="s">
        <v>72</v>
      </c>
      <c r="B650" t="s">
        <v>10049</v>
      </c>
      <c r="C650" t="s">
        <v>74</v>
      </c>
      <c r="D650" t="s">
        <v>74</v>
      </c>
      <c r="E650" t="s">
        <v>74</v>
      </c>
      <c r="F650" t="s">
        <v>10049</v>
      </c>
      <c r="G650" t="s">
        <v>74</v>
      </c>
      <c r="H650" t="s">
        <v>74</v>
      </c>
      <c r="I650" t="s">
        <v>10050</v>
      </c>
      <c r="J650" t="s">
        <v>2765</v>
      </c>
      <c r="K650" t="s">
        <v>74</v>
      </c>
      <c r="L650" t="s">
        <v>74</v>
      </c>
      <c r="M650" t="s">
        <v>78</v>
      </c>
      <c r="N650" t="s">
        <v>79</v>
      </c>
      <c r="O650" t="s">
        <v>74</v>
      </c>
      <c r="P650" t="s">
        <v>74</v>
      </c>
      <c r="Q650" t="s">
        <v>74</v>
      </c>
      <c r="R650" t="s">
        <v>74</v>
      </c>
      <c r="S650" t="s">
        <v>74</v>
      </c>
      <c r="T650" t="s">
        <v>74</v>
      </c>
      <c r="U650" t="s">
        <v>10051</v>
      </c>
      <c r="V650" t="s">
        <v>10052</v>
      </c>
      <c r="W650" t="s">
        <v>10053</v>
      </c>
      <c r="X650" t="s">
        <v>10054</v>
      </c>
      <c r="Y650" t="s">
        <v>10055</v>
      </c>
      <c r="Z650" t="s">
        <v>10056</v>
      </c>
      <c r="AA650" t="s">
        <v>10057</v>
      </c>
      <c r="AB650" t="s">
        <v>10058</v>
      </c>
      <c r="AC650" t="s">
        <v>74</v>
      </c>
      <c r="AD650" t="s">
        <v>74</v>
      </c>
      <c r="AE650" t="s">
        <v>74</v>
      </c>
      <c r="AF650" t="s">
        <v>74</v>
      </c>
      <c r="AG650">
        <v>48</v>
      </c>
      <c r="AH650">
        <v>147</v>
      </c>
      <c r="AI650">
        <v>181</v>
      </c>
      <c r="AJ650">
        <v>2</v>
      </c>
      <c r="AK650">
        <v>64</v>
      </c>
      <c r="AL650" t="s">
        <v>1469</v>
      </c>
      <c r="AM650" t="s">
        <v>116</v>
      </c>
      <c r="AN650" t="s">
        <v>117</v>
      </c>
      <c r="AO650" t="s">
        <v>2774</v>
      </c>
      <c r="AP650" t="s">
        <v>2775</v>
      </c>
      <c r="AQ650" t="s">
        <v>74</v>
      </c>
      <c r="AR650" t="s">
        <v>2776</v>
      </c>
      <c r="AS650" t="s">
        <v>2777</v>
      </c>
      <c r="AT650" t="s">
        <v>9687</v>
      </c>
      <c r="AU650">
        <v>2006</v>
      </c>
      <c r="AV650">
        <v>8</v>
      </c>
      <c r="AW650">
        <v>3</v>
      </c>
      <c r="AX650" t="s">
        <v>74</v>
      </c>
      <c r="AY650" t="s">
        <v>74</v>
      </c>
      <c r="AZ650" t="s">
        <v>74</v>
      </c>
      <c r="BA650" t="s">
        <v>74</v>
      </c>
      <c r="BB650">
        <v>455</v>
      </c>
      <c r="BC650">
        <v>465</v>
      </c>
      <c r="BD650" t="s">
        <v>74</v>
      </c>
      <c r="BE650" t="s">
        <v>10059</v>
      </c>
      <c r="BF650" t="str">
        <f>HYPERLINK("http://dx.doi.org/10.1111/j.1462-2920.2005.00911.x","http://dx.doi.org/10.1111/j.1462-2920.2005.00911.x")</f>
        <v>http://dx.doi.org/10.1111/j.1462-2920.2005.00911.x</v>
      </c>
      <c r="BG650" t="s">
        <v>74</v>
      </c>
      <c r="BH650" t="s">
        <v>74</v>
      </c>
      <c r="BI650">
        <v>11</v>
      </c>
      <c r="BJ650" t="s">
        <v>587</v>
      </c>
      <c r="BK650" t="s">
        <v>97</v>
      </c>
      <c r="BL650" t="s">
        <v>587</v>
      </c>
      <c r="BM650" t="s">
        <v>10060</v>
      </c>
      <c r="BN650">
        <v>16478452</v>
      </c>
      <c r="BO650" t="s">
        <v>74</v>
      </c>
      <c r="BP650" t="s">
        <v>74</v>
      </c>
      <c r="BQ650" t="s">
        <v>74</v>
      </c>
      <c r="BR650" t="s">
        <v>100</v>
      </c>
      <c r="BS650" t="s">
        <v>10061</v>
      </c>
      <c r="BT650" t="str">
        <f>HYPERLINK("https%3A%2F%2Fwww.webofscience.com%2Fwos%2Fwoscc%2Ffull-record%2FWOS:000235330900009","View Full Record in Web of Science")</f>
        <v>View Full Record in Web of Science</v>
      </c>
    </row>
    <row r="651" spans="1:72" x14ac:dyDescent="0.15">
      <c r="A651" t="s">
        <v>72</v>
      </c>
      <c r="B651" t="s">
        <v>10062</v>
      </c>
      <c r="C651" t="s">
        <v>74</v>
      </c>
      <c r="D651" t="s">
        <v>74</v>
      </c>
      <c r="E651" t="s">
        <v>74</v>
      </c>
      <c r="F651" t="s">
        <v>10062</v>
      </c>
      <c r="G651" t="s">
        <v>74</v>
      </c>
      <c r="H651" t="s">
        <v>74</v>
      </c>
      <c r="I651" t="s">
        <v>10063</v>
      </c>
      <c r="J651" t="s">
        <v>10064</v>
      </c>
      <c r="K651" t="s">
        <v>74</v>
      </c>
      <c r="L651" t="s">
        <v>74</v>
      </c>
      <c r="M651" t="s">
        <v>78</v>
      </c>
      <c r="N651" t="s">
        <v>79</v>
      </c>
      <c r="O651" t="s">
        <v>74</v>
      </c>
      <c r="P651" t="s">
        <v>74</v>
      </c>
      <c r="Q651" t="s">
        <v>74</v>
      </c>
      <c r="R651" t="s">
        <v>74</v>
      </c>
      <c r="S651" t="s">
        <v>74</v>
      </c>
      <c r="T651" t="s">
        <v>10065</v>
      </c>
      <c r="U651" t="s">
        <v>10066</v>
      </c>
      <c r="V651" t="s">
        <v>10067</v>
      </c>
      <c r="W651" t="s">
        <v>10068</v>
      </c>
      <c r="X651" t="s">
        <v>10069</v>
      </c>
      <c r="Y651" t="s">
        <v>10070</v>
      </c>
      <c r="Z651" t="s">
        <v>10071</v>
      </c>
      <c r="AA651" t="s">
        <v>10072</v>
      </c>
      <c r="AB651" t="s">
        <v>10073</v>
      </c>
      <c r="AC651" t="s">
        <v>74</v>
      </c>
      <c r="AD651" t="s">
        <v>74</v>
      </c>
      <c r="AE651" t="s">
        <v>74</v>
      </c>
      <c r="AF651" t="s">
        <v>74</v>
      </c>
      <c r="AG651">
        <v>46</v>
      </c>
      <c r="AH651">
        <v>75</v>
      </c>
      <c r="AI651">
        <v>81</v>
      </c>
      <c r="AJ651">
        <v>1</v>
      </c>
      <c r="AK651">
        <v>39</v>
      </c>
      <c r="AL651" t="s">
        <v>2630</v>
      </c>
      <c r="AM651" t="s">
        <v>388</v>
      </c>
      <c r="AN651" t="s">
        <v>2631</v>
      </c>
      <c r="AO651" t="s">
        <v>10074</v>
      </c>
      <c r="AP651" t="s">
        <v>10075</v>
      </c>
      <c r="AQ651" t="s">
        <v>74</v>
      </c>
      <c r="AR651" t="s">
        <v>10076</v>
      </c>
      <c r="AS651" t="s">
        <v>10077</v>
      </c>
      <c r="AT651" t="s">
        <v>9687</v>
      </c>
      <c r="AU651">
        <v>2006</v>
      </c>
      <c r="AV651">
        <v>140</v>
      </c>
      <c r="AW651">
        <v>2</v>
      </c>
      <c r="AX651" t="s">
        <v>74</v>
      </c>
      <c r="AY651" t="s">
        <v>74</v>
      </c>
      <c r="AZ651" t="s">
        <v>74</v>
      </c>
      <c r="BA651" t="s">
        <v>74</v>
      </c>
      <c r="BB651">
        <v>304</v>
      </c>
      <c r="BC651">
        <v>311</v>
      </c>
      <c r="BD651" t="s">
        <v>74</v>
      </c>
      <c r="BE651" t="s">
        <v>10078</v>
      </c>
      <c r="BF651" t="str">
        <f>HYPERLINK("http://dx.doi.org/10.1016/j.envpol.2005.07.007","http://dx.doi.org/10.1016/j.envpol.2005.07.007")</f>
        <v>http://dx.doi.org/10.1016/j.envpol.2005.07.007</v>
      </c>
      <c r="BG651" t="s">
        <v>74</v>
      </c>
      <c r="BH651" t="s">
        <v>74</v>
      </c>
      <c r="BI651">
        <v>8</v>
      </c>
      <c r="BJ651" t="s">
        <v>439</v>
      </c>
      <c r="BK651" t="s">
        <v>97</v>
      </c>
      <c r="BL651" t="s">
        <v>420</v>
      </c>
      <c r="BM651" t="s">
        <v>10079</v>
      </c>
      <c r="BN651">
        <v>16168539</v>
      </c>
      <c r="BO651" t="s">
        <v>74</v>
      </c>
      <c r="BP651" t="s">
        <v>74</v>
      </c>
      <c r="BQ651" t="s">
        <v>74</v>
      </c>
      <c r="BR651" t="s">
        <v>100</v>
      </c>
      <c r="BS651" t="s">
        <v>10080</v>
      </c>
      <c r="BT651" t="str">
        <f>HYPERLINK("https%3A%2F%2Fwww.webofscience.com%2Fwos%2Fwoscc%2Ffull-record%2FWOS:000235133700012","View Full Record in Web of Science")</f>
        <v>View Full Record in Web of Science</v>
      </c>
    </row>
    <row r="652" spans="1:72" x14ac:dyDescent="0.15">
      <c r="A652" t="s">
        <v>72</v>
      </c>
      <c r="B652" t="s">
        <v>10081</v>
      </c>
      <c r="C652" t="s">
        <v>74</v>
      </c>
      <c r="D652" t="s">
        <v>74</v>
      </c>
      <c r="E652" t="s">
        <v>74</v>
      </c>
      <c r="F652" t="s">
        <v>10081</v>
      </c>
      <c r="G652" t="s">
        <v>74</v>
      </c>
      <c r="H652" t="s">
        <v>74</v>
      </c>
      <c r="I652" t="s">
        <v>10082</v>
      </c>
      <c r="J652" t="s">
        <v>10064</v>
      </c>
      <c r="K652" t="s">
        <v>74</v>
      </c>
      <c r="L652" t="s">
        <v>74</v>
      </c>
      <c r="M652" t="s">
        <v>78</v>
      </c>
      <c r="N652" t="s">
        <v>79</v>
      </c>
      <c r="O652" t="s">
        <v>74</v>
      </c>
      <c r="P652" t="s">
        <v>74</v>
      </c>
      <c r="Q652" t="s">
        <v>74</v>
      </c>
      <c r="R652" t="s">
        <v>74</v>
      </c>
      <c r="S652" t="s">
        <v>74</v>
      </c>
      <c r="T652" t="s">
        <v>10083</v>
      </c>
      <c r="U652" t="s">
        <v>10084</v>
      </c>
      <c r="V652" t="s">
        <v>10085</v>
      </c>
      <c r="W652" t="s">
        <v>10086</v>
      </c>
      <c r="X652" t="s">
        <v>10087</v>
      </c>
      <c r="Y652" t="s">
        <v>10088</v>
      </c>
      <c r="Z652" t="s">
        <v>10089</v>
      </c>
      <c r="AA652" t="s">
        <v>10090</v>
      </c>
      <c r="AB652" t="s">
        <v>10091</v>
      </c>
      <c r="AC652" t="s">
        <v>5264</v>
      </c>
      <c r="AD652" t="s">
        <v>1328</v>
      </c>
      <c r="AE652" t="s">
        <v>74</v>
      </c>
      <c r="AF652" t="s">
        <v>74</v>
      </c>
      <c r="AG652">
        <v>65</v>
      </c>
      <c r="AH652">
        <v>21</v>
      </c>
      <c r="AI652">
        <v>23</v>
      </c>
      <c r="AJ652">
        <v>1</v>
      </c>
      <c r="AK652">
        <v>20</v>
      </c>
      <c r="AL652" t="s">
        <v>2630</v>
      </c>
      <c r="AM652" t="s">
        <v>388</v>
      </c>
      <c r="AN652" t="s">
        <v>2631</v>
      </c>
      <c r="AO652" t="s">
        <v>10074</v>
      </c>
      <c r="AP652" t="s">
        <v>10075</v>
      </c>
      <c r="AQ652" t="s">
        <v>74</v>
      </c>
      <c r="AR652" t="s">
        <v>10076</v>
      </c>
      <c r="AS652" t="s">
        <v>10077</v>
      </c>
      <c r="AT652" t="s">
        <v>9687</v>
      </c>
      <c r="AU652">
        <v>2006</v>
      </c>
      <c r="AV652">
        <v>140</v>
      </c>
      <c r="AW652">
        <v>2</v>
      </c>
      <c r="AX652" t="s">
        <v>74</v>
      </c>
      <c r="AY652" t="s">
        <v>74</v>
      </c>
      <c r="AZ652" t="s">
        <v>74</v>
      </c>
      <c r="BA652" t="s">
        <v>74</v>
      </c>
      <c r="BB652">
        <v>312</v>
      </c>
      <c r="BC652">
        <v>321</v>
      </c>
      <c r="BD652" t="s">
        <v>74</v>
      </c>
      <c r="BE652" t="s">
        <v>10092</v>
      </c>
      <c r="BF652" t="str">
        <f>HYPERLINK("http://dx.doi.org/10.1016/j.envpol.2005.07.006","http://dx.doi.org/10.1016/j.envpol.2005.07.006")</f>
        <v>http://dx.doi.org/10.1016/j.envpol.2005.07.006</v>
      </c>
      <c r="BG652" t="s">
        <v>74</v>
      </c>
      <c r="BH652" t="s">
        <v>74</v>
      </c>
      <c r="BI652">
        <v>10</v>
      </c>
      <c r="BJ652" t="s">
        <v>439</v>
      </c>
      <c r="BK652" t="s">
        <v>97</v>
      </c>
      <c r="BL652" t="s">
        <v>420</v>
      </c>
      <c r="BM652" t="s">
        <v>10079</v>
      </c>
      <c r="BN652">
        <v>16260076</v>
      </c>
      <c r="BO652" t="s">
        <v>74</v>
      </c>
      <c r="BP652" t="s">
        <v>74</v>
      </c>
      <c r="BQ652" t="s">
        <v>74</v>
      </c>
      <c r="BR652" t="s">
        <v>100</v>
      </c>
      <c r="BS652" t="s">
        <v>10093</v>
      </c>
      <c r="BT652" t="str">
        <f>HYPERLINK("https%3A%2F%2Fwww.webofscience.com%2Fwos%2Fwoscc%2Ffull-record%2FWOS:000235133700013","View Full Record in Web of Science")</f>
        <v>View Full Record in Web of Science</v>
      </c>
    </row>
    <row r="653" spans="1:72" x14ac:dyDescent="0.15">
      <c r="A653" t="s">
        <v>72</v>
      </c>
      <c r="B653" t="s">
        <v>10094</v>
      </c>
      <c r="C653" t="s">
        <v>74</v>
      </c>
      <c r="D653" t="s">
        <v>74</v>
      </c>
      <c r="E653" t="s">
        <v>74</v>
      </c>
      <c r="F653" t="s">
        <v>10094</v>
      </c>
      <c r="G653" t="s">
        <v>74</v>
      </c>
      <c r="H653" t="s">
        <v>74</v>
      </c>
      <c r="I653" t="s">
        <v>10095</v>
      </c>
      <c r="J653" t="s">
        <v>10064</v>
      </c>
      <c r="K653" t="s">
        <v>74</v>
      </c>
      <c r="L653" t="s">
        <v>74</v>
      </c>
      <c r="M653" t="s">
        <v>78</v>
      </c>
      <c r="N653" t="s">
        <v>79</v>
      </c>
      <c r="O653" t="s">
        <v>74</v>
      </c>
      <c r="P653" t="s">
        <v>74</v>
      </c>
      <c r="Q653" t="s">
        <v>74</v>
      </c>
      <c r="R653" t="s">
        <v>74</v>
      </c>
      <c r="S653" t="s">
        <v>74</v>
      </c>
      <c r="T653" t="s">
        <v>10096</v>
      </c>
      <c r="U653" t="s">
        <v>10097</v>
      </c>
      <c r="V653" t="s">
        <v>10098</v>
      </c>
      <c r="W653" t="s">
        <v>10099</v>
      </c>
      <c r="X653" t="s">
        <v>10100</v>
      </c>
      <c r="Y653" t="s">
        <v>10101</v>
      </c>
      <c r="Z653" t="s">
        <v>10102</v>
      </c>
      <c r="AA653" t="s">
        <v>10103</v>
      </c>
      <c r="AB653" t="s">
        <v>10104</v>
      </c>
      <c r="AC653" t="s">
        <v>74</v>
      </c>
      <c r="AD653" t="s">
        <v>74</v>
      </c>
      <c r="AE653" t="s">
        <v>74</v>
      </c>
      <c r="AF653" t="s">
        <v>74</v>
      </c>
      <c r="AG653">
        <v>60</v>
      </c>
      <c r="AH653">
        <v>139</v>
      </c>
      <c r="AI653">
        <v>150</v>
      </c>
      <c r="AJ653">
        <v>1</v>
      </c>
      <c r="AK653">
        <v>82</v>
      </c>
      <c r="AL653" t="s">
        <v>2630</v>
      </c>
      <c r="AM653" t="s">
        <v>388</v>
      </c>
      <c r="AN653" t="s">
        <v>2631</v>
      </c>
      <c r="AO653" t="s">
        <v>10074</v>
      </c>
      <c r="AP653" t="s">
        <v>74</v>
      </c>
      <c r="AQ653" t="s">
        <v>74</v>
      </c>
      <c r="AR653" t="s">
        <v>10076</v>
      </c>
      <c r="AS653" t="s">
        <v>10077</v>
      </c>
      <c r="AT653" t="s">
        <v>9687</v>
      </c>
      <c r="AU653">
        <v>2006</v>
      </c>
      <c r="AV653">
        <v>140</v>
      </c>
      <c r="AW653">
        <v>2</v>
      </c>
      <c r="AX653" t="s">
        <v>74</v>
      </c>
      <c r="AY653" t="s">
        <v>74</v>
      </c>
      <c r="AZ653" t="s">
        <v>74</v>
      </c>
      <c r="BA653" t="s">
        <v>74</v>
      </c>
      <c r="BB653">
        <v>371</v>
      </c>
      <c r="BC653">
        <v>382</v>
      </c>
      <c r="BD653" t="s">
        <v>74</v>
      </c>
      <c r="BE653" t="s">
        <v>10105</v>
      </c>
      <c r="BF653" t="str">
        <f>HYPERLINK("http://dx.doi.org/10.1016/j.envpol.2005.04.039","http://dx.doi.org/10.1016/j.envpol.2005.04.039")</f>
        <v>http://dx.doi.org/10.1016/j.envpol.2005.04.039</v>
      </c>
      <c r="BG653" t="s">
        <v>74</v>
      </c>
      <c r="BH653" t="s">
        <v>74</v>
      </c>
      <c r="BI653">
        <v>12</v>
      </c>
      <c r="BJ653" t="s">
        <v>439</v>
      </c>
      <c r="BK653" t="s">
        <v>97</v>
      </c>
      <c r="BL653" t="s">
        <v>420</v>
      </c>
      <c r="BM653" t="s">
        <v>10079</v>
      </c>
      <c r="BN653">
        <v>16183185</v>
      </c>
      <c r="BO653" t="s">
        <v>74</v>
      </c>
      <c r="BP653" t="s">
        <v>74</v>
      </c>
      <c r="BQ653" t="s">
        <v>74</v>
      </c>
      <c r="BR653" t="s">
        <v>100</v>
      </c>
      <c r="BS653" t="s">
        <v>10106</v>
      </c>
      <c r="BT653" t="str">
        <f>HYPERLINK("https%3A%2F%2Fwww.webofscience.com%2Fwos%2Fwoscc%2Ffull-record%2FWOS:000235133700019","View Full Record in Web of Science")</f>
        <v>View Full Record in Web of Science</v>
      </c>
    </row>
    <row r="654" spans="1:72" x14ac:dyDescent="0.15">
      <c r="A654" t="s">
        <v>72</v>
      </c>
      <c r="B654" t="s">
        <v>10107</v>
      </c>
      <c r="C654" t="s">
        <v>74</v>
      </c>
      <c r="D654" t="s">
        <v>74</v>
      </c>
      <c r="E654" t="s">
        <v>74</v>
      </c>
      <c r="F654" t="s">
        <v>10107</v>
      </c>
      <c r="G654" t="s">
        <v>74</v>
      </c>
      <c r="H654" t="s">
        <v>74</v>
      </c>
      <c r="I654" t="s">
        <v>10108</v>
      </c>
      <c r="J654" t="s">
        <v>10109</v>
      </c>
      <c r="K654" t="s">
        <v>74</v>
      </c>
      <c r="L654" t="s">
        <v>74</v>
      </c>
      <c r="M654" t="s">
        <v>78</v>
      </c>
      <c r="N654" t="s">
        <v>79</v>
      </c>
      <c r="O654" t="s">
        <v>74</v>
      </c>
      <c r="P654" t="s">
        <v>74</v>
      </c>
      <c r="Q654" t="s">
        <v>74</v>
      </c>
      <c r="R654" t="s">
        <v>74</v>
      </c>
      <c r="S654" t="s">
        <v>74</v>
      </c>
      <c r="T654" t="s">
        <v>10110</v>
      </c>
      <c r="U654" t="s">
        <v>10111</v>
      </c>
      <c r="V654" t="s">
        <v>10112</v>
      </c>
      <c r="W654" t="s">
        <v>10113</v>
      </c>
      <c r="X654" t="s">
        <v>7335</v>
      </c>
      <c r="Y654" t="s">
        <v>10114</v>
      </c>
      <c r="Z654" t="s">
        <v>10115</v>
      </c>
      <c r="AA654" t="s">
        <v>74</v>
      </c>
      <c r="AB654" t="s">
        <v>74</v>
      </c>
      <c r="AC654" t="s">
        <v>74</v>
      </c>
      <c r="AD654" t="s">
        <v>74</v>
      </c>
      <c r="AE654" t="s">
        <v>74</v>
      </c>
      <c r="AF654" t="s">
        <v>74</v>
      </c>
      <c r="AG654">
        <v>89</v>
      </c>
      <c r="AH654">
        <v>31</v>
      </c>
      <c r="AI654">
        <v>33</v>
      </c>
      <c r="AJ654">
        <v>0</v>
      </c>
      <c r="AK654">
        <v>8</v>
      </c>
      <c r="AL654" t="s">
        <v>994</v>
      </c>
      <c r="AM654" t="s">
        <v>476</v>
      </c>
      <c r="AN654" t="s">
        <v>1551</v>
      </c>
      <c r="AO654" t="s">
        <v>10116</v>
      </c>
      <c r="AP654" t="s">
        <v>10117</v>
      </c>
      <c r="AQ654" t="s">
        <v>74</v>
      </c>
      <c r="AR654" t="s">
        <v>10109</v>
      </c>
      <c r="AS654" t="s">
        <v>10118</v>
      </c>
      <c r="AT654" t="s">
        <v>9687</v>
      </c>
      <c r="AU654">
        <v>2006</v>
      </c>
      <c r="AV654">
        <v>52</v>
      </c>
      <c r="AW654">
        <v>1</v>
      </c>
      <c r="AX654" t="s">
        <v>74</v>
      </c>
      <c r="AY654" t="s">
        <v>74</v>
      </c>
      <c r="AZ654" t="s">
        <v>74</v>
      </c>
      <c r="BA654" t="s">
        <v>74</v>
      </c>
      <c r="BB654">
        <v>85</v>
      </c>
      <c r="BC654">
        <v>112</v>
      </c>
      <c r="BD654" t="s">
        <v>74</v>
      </c>
      <c r="BE654" t="s">
        <v>10119</v>
      </c>
      <c r="BF654" t="str">
        <f>HYPERLINK("http://dx.doi.org/10.1007/s10347-005-0039-8","http://dx.doi.org/10.1007/s10347-005-0039-8")</f>
        <v>http://dx.doi.org/10.1007/s10347-005-0039-8</v>
      </c>
      <c r="BG654" t="s">
        <v>74</v>
      </c>
      <c r="BH654" t="s">
        <v>74</v>
      </c>
      <c r="BI654">
        <v>28</v>
      </c>
      <c r="BJ654" t="s">
        <v>10120</v>
      </c>
      <c r="BK654" t="s">
        <v>97</v>
      </c>
      <c r="BL654" t="s">
        <v>10120</v>
      </c>
      <c r="BM654" t="s">
        <v>10121</v>
      </c>
      <c r="BN654" t="s">
        <v>74</v>
      </c>
      <c r="BO654" t="s">
        <v>74</v>
      </c>
      <c r="BP654" t="s">
        <v>74</v>
      </c>
      <c r="BQ654" t="s">
        <v>74</v>
      </c>
      <c r="BR654" t="s">
        <v>100</v>
      </c>
      <c r="BS654" t="s">
        <v>10122</v>
      </c>
      <c r="BT654" t="str">
        <f>HYPERLINK("https%3A%2F%2Fwww.webofscience.com%2Fwos%2Fwoscc%2Ffull-record%2FWOS:000235956400006","View Full Record in Web of Science")</f>
        <v>View Full Record in Web of Science</v>
      </c>
    </row>
    <row r="655" spans="1:72" x14ac:dyDescent="0.15">
      <c r="A655" t="s">
        <v>72</v>
      </c>
      <c r="B655" t="s">
        <v>10123</v>
      </c>
      <c r="C655" t="s">
        <v>74</v>
      </c>
      <c r="D655" t="s">
        <v>74</v>
      </c>
      <c r="E655" t="s">
        <v>74</v>
      </c>
      <c r="F655" t="s">
        <v>10124</v>
      </c>
      <c r="G655" t="s">
        <v>74</v>
      </c>
      <c r="H655" t="s">
        <v>74</v>
      </c>
      <c r="I655" t="s">
        <v>10125</v>
      </c>
      <c r="J655" t="s">
        <v>10126</v>
      </c>
      <c r="K655" t="s">
        <v>74</v>
      </c>
      <c r="L655" t="s">
        <v>74</v>
      </c>
      <c r="M655" t="s">
        <v>78</v>
      </c>
      <c r="N655" t="s">
        <v>79</v>
      </c>
      <c r="O655" t="s">
        <v>74</v>
      </c>
      <c r="P655" t="s">
        <v>74</v>
      </c>
      <c r="Q655" t="s">
        <v>74</v>
      </c>
      <c r="R655" t="s">
        <v>74</v>
      </c>
      <c r="S655" t="s">
        <v>74</v>
      </c>
      <c r="T655" t="s">
        <v>74</v>
      </c>
      <c r="U655" t="s">
        <v>10127</v>
      </c>
      <c r="V655" t="s">
        <v>10128</v>
      </c>
      <c r="W655" t="s">
        <v>10129</v>
      </c>
      <c r="X655" t="s">
        <v>10130</v>
      </c>
      <c r="Y655" t="s">
        <v>10131</v>
      </c>
      <c r="Z655" t="s">
        <v>10132</v>
      </c>
      <c r="AA655" t="s">
        <v>10133</v>
      </c>
      <c r="AB655" t="s">
        <v>10134</v>
      </c>
      <c r="AC655" t="s">
        <v>10135</v>
      </c>
      <c r="AD655" t="s">
        <v>10136</v>
      </c>
      <c r="AE655" t="s">
        <v>10137</v>
      </c>
      <c r="AF655" t="s">
        <v>74</v>
      </c>
      <c r="AG655">
        <v>74</v>
      </c>
      <c r="AH655">
        <v>81</v>
      </c>
      <c r="AI655">
        <v>88</v>
      </c>
      <c r="AJ655">
        <v>0</v>
      </c>
      <c r="AK655">
        <v>43</v>
      </c>
      <c r="AL655" t="s">
        <v>115</v>
      </c>
      <c r="AM655" t="s">
        <v>116</v>
      </c>
      <c r="AN655" t="s">
        <v>117</v>
      </c>
      <c r="AO655" t="s">
        <v>10138</v>
      </c>
      <c r="AP655" t="s">
        <v>10139</v>
      </c>
      <c r="AQ655" t="s">
        <v>74</v>
      </c>
      <c r="AR655" t="s">
        <v>10126</v>
      </c>
      <c r="AS655" t="s">
        <v>10140</v>
      </c>
      <c r="AT655" t="s">
        <v>9687</v>
      </c>
      <c r="AU655">
        <v>2006</v>
      </c>
      <c r="AV655">
        <v>4</v>
      </c>
      <c r="AW655">
        <v>1</v>
      </c>
      <c r="AX655" t="s">
        <v>74</v>
      </c>
      <c r="AY655" t="s">
        <v>74</v>
      </c>
      <c r="AZ655" t="s">
        <v>74</v>
      </c>
      <c r="BA655" t="s">
        <v>74</v>
      </c>
      <c r="BB655">
        <v>15</v>
      </c>
      <c r="BC655">
        <v>28</v>
      </c>
      <c r="BD655" t="s">
        <v>74</v>
      </c>
      <c r="BE655" t="s">
        <v>10141</v>
      </c>
      <c r="BF655" t="str">
        <f>HYPERLINK("http://dx.doi.org/10.1111/j.1472-4669.2006.00063.x","http://dx.doi.org/10.1111/j.1472-4669.2006.00063.x")</f>
        <v>http://dx.doi.org/10.1111/j.1472-4669.2006.00063.x</v>
      </c>
      <c r="BG655" t="s">
        <v>74</v>
      </c>
      <c r="BH655" t="s">
        <v>74</v>
      </c>
      <c r="BI655">
        <v>14</v>
      </c>
      <c r="BJ655" t="s">
        <v>10142</v>
      </c>
      <c r="BK655" t="s">
        <v>97</v>
      </c>
      <c r="BL655" t="s">
        <v>10143</v>
      </c>
      <c r="BM655" t="s">
        <v>10144</v>
      </c>
      <c r="BN655" t="s">
        <v>74</v>
      </c>
      <c r="BO655" t="s">
        <v>74</v>
      </c>
      <c r="BP655" t="s">
        <v>74</v>
      </c>
      <c r="BQ655" t="s">
        <v>74</v>
      </c>
      <c r="BR655" t="s">
        <v>100</v>
      </c>
      <c r="BS655" t="s">
        <v>10145</v>
      </c>
      <c r="BT655" t="str">
        <f>HYPERLINK("https%3A%2F%2Fwww.webofscience.com%2Fwos%2Fwoscc%2Ffull-record%2FWOS:000207172100003","View Full Record in Web of Science")</f>
        <v>View Full Record in Web of Science</v>
      </c>
    </row>
    <row r="656" spans="1:72" x14ac:dyDescent="0.15">
      <c r="A656" t="s">
        <v>72</v>
      </c>
      <c r="B656" t="s">
        <v>10146</v>
      </c>
      <c r="C656" t="s">
        <v>74</v>
      </c>
      <c r="D656" t="s">
        <v>74</v>
      </c>
      <c r="E656" t="s">
        <v>74</v>
      </c>
      <c r="F656" t="s">
        <v>10147</v>
      </c>
      <c r="G656" t="s">
        <v>74</v>
      </c>
      <c r="H656" t="s">
        <v>74</v>
      </c>
      <c r="I656" t="s">
        <v>10148</v>
      </c>
      <c r="J656" t="s">
        <v>10126</v>
      </c>
      <c r="K656" t="s">
        <v>74</v>
      </c>
      <c r="L656" t="s">
        <v>74</v>
      </c>
      <c r="M656" t="s">
        <v>78</v>
      </c>
      <c r="N656" t="s">
        <v>79</v>
      </c>
      <c r="O656" t="s">
        <v>74</v>
      </c>
      <c r="P656" t="s">
        <v>74</v>
      </c>
      <c r="Q656" t="s">
        <v>74</v>
      </c>
      <c r="R656" t="s">
        <v>74</v>
      </c>
      <c r="S656" t="s">
        <v>74</v>
      </c>
      <c r="T656" t="s">
        <v>74</v>
      </c>
      <c r="U656" t="s">
        <v>10149</v>
      </c>
      <c r="V656" t="s">
        <v>10150</v>
      </c>
      <c r="W656" t="s">
        <v>10151</v>
      </c>
      <c r="X656" t="s">
        <v>10152</v>
      </c>
      <c r="Y656" t="s">
        <v>10153</v>
      </c>
      <c r="Z656" t="s">
        <v>10154</v>
      </c>
      <c r="AA656" t="s">
        <v>74</v>
      </c>
      <c r="AB656" t="s">
        <v>10155</v>
      </c>
      <c r="AC656" t="s">
        <v>10156</v>
      </c>
      <c r="AD656" t="s">
        <v>10157</v>
      </c>
      <c r="AE656" t="s">
        <v>10158</v>
      </c>
      <c r="AF656" t="s">
        <v>74</v>
      </c>
      <c r="AG656">
        <v>54</v>
      </c>
      <c r="AH656">
        <v>54</v>
      </c>
      <c r="AI656">
        <v>65</v>
      </c>
      <c r="AJ656">
        <v>0</v>
      </c>
      <c r="AK656">
        <v>30</v>
      </c>
      <c r="AL656" t="s">
        <v>115</v>
      </c>
      <c r="AM656" t="s">
        <v>116</v>
      </c>
      <c r="AN656" t="s">
        <v>117</v>
      </c>
      <c r="AO656" t="s">
        <v>10138</v>
      </c>
      <c r="AP656" t="s">
        <v>10139</v>
      </c>
      <c r="AQ656" t="s">
        <v>74</v>
      </c>
      <c r="AR656" t="s">
        <v>10126</v>
      </c>
      <c r="AS656" t="s">
        <v>10140</v>
      </c>
      <c r="AT656" t="s">
        <v>9687</v>
      </c>
      <c r="AU656">
        <v>2006</v>
      </c>
      <c r="AV656">
        <v>4</v>
      </c>
      <c r="AW656">
        <v>1</v>
      </c>
      <c r="AX656" t="s">
        <v>74</v>
      </c>
      <c r="AY656" t="s">
        <v>74</v>
      </c>
      <c r="AZ656" t="s">
        <v>74</v>
      </c>
      <c r="BA656" t="s">
        <v>74</v>
      </c>
      <c r="BB656">
        <v>53</v>
      </c>
      <c r="BC656">
        <v>67</v>
      </c>
      <c r="BD656" t="s">
        <v>74</v>
      </c>
      <c r="BE656" t="s">
        <v>10159</v>
      </c>
      <c r="BF656" t="str">
        <f>HYPERLINK("http://dx.doi.org/10.1111/j.1472-4669.2006.00057.x","http://dx.doi.org/10.1111/j.1472-4669.2006.00057.x")</f>
        <v>http://dx.doi.org/10.1111/j.1472-4669.2006.00057.x</v>
      </c>
      <c r="BG656" t="s">
        <v>74</v>
      </c>
      <c r="BH656" t="s">
        <v>74</v>
      </c>
      <c r="BI656">
        <v>15</v>
      </c>
      <c r="BJ656" t="s">
        <v>10142</v>
      </c>
      <c r="BK656" t="s">
        <v>97</v>
      </c>
      <c r="BL656" t="s">
        <v>10143</v>
      </c>
      <c r="BM656" t="s">
        <v>10144</v>
      </c>
      <c r="BN656" t="s">
        <v>74</v>
      </c>
      <c r="BO656" t="s">
        <v>74</v>
      </c>
      <c r="BP656" t="s">
        <v>74</v>
      </c>
      <c r="BQ656" t="s">
        <v>74</v>
      </c>
      <c r="BR656" t="s">
        <v>100</v>
      </c>
      <c r="BS656" t="s">
        <v>10160</v>
      </c>
      <c r="BT656" t="str">
        <f>HYPERLINK("https%3A%2F%2Fwww.webofscience.com%2Fwos%2Fwoscc%2Ffull-record%2FWOS:000207172100006","View Full Record in Web of Science")</f>
        <v>View Full Record in Web of Science</v>
      </c>
    </row>
    <row r="657" spans="1:72" x14ac:dyDescent="0.15">
      <c r="A657" t="s">
        <v>72</v>
      </c>
      <c r="B657" t="s">
        <v>10161</v>
      </c>
      <c r="C657" t="s">
        <v>74</v>
      </c>
      <c r="D657" t="s">
        <v>74</v>
      </c>
      <c r="E657" t="s">
        <v>74</v>
      </c>
      <c r="F657" t="s">
        <v>10161</v>
      </c>
      <c r="G657" t="s">
        <v>74</v>
      </c>
      <c r="H657" t="s">
        <v>74</v>
      </c>
      <c r="I657" t="s">
        <v>10162</v>
      </c>
      <c r="J657" t="s">
        <v>733</v>
      </c>
      <c r="K657" t="s">
        <v>74</v>
      </c>
      <c r="L657" t="s">
        <v>74</v>
      </c>
      <c r="M657" t="s">
        <v>78</v>
      </c>
      <c r="N657" t="s">
        <v>79</v>
      </c>
      <c r="O657" t="s">
        <v>74</v>
      </c>
      <c r="P657" t="s">
        <v>74</v>
      </c>
      <c r="Q657" t="s">
        <v>74</v>
      </c>
      <c r="R657" t="s">
        <v>74</v>
      </c>
      <c r="S657" t="s">
        <v>74</v>
      </c>
      <c r="T657" t="s">
        <v>10163</v>
      </c>
      <c r="U657" t="s">
        <v>10164</v>
      </c>
      <c r="V657" t="s">
        <v>10165</v>
      </c>
      <c r="W657" t="s">
        <v>10166</v>
      </c>
      <c r="X657" t="s">
        <v>10167</v>
      </c>
      <c r="Y657" t="s">
        <v>10168</v>
      </c>
      <c r="Z657" t="s">
        <v>74</v>
      </c>
      <c r="AA657" t="s">
        <v>10169</v>
      </c>
      <c r="AB657" t="s">
        <v>10170</v>
      </c>
      <c r="AC657" t="s">
        <v>7562</v>
      </c>
      <c r="AD657" t="s">
        <v>1328</v>
      </c>
      <c r="AE657" t="s">
        <v>74</v>
      </c>
      <c r="AF657" t="s">
        <v>74</v>
      </c>
      <c r="AG657">
        <v>35</v>
      </c>
      <c r="AH657">
        <v>108</v>
      </c>
      <c r="AI657">
        <v>117</v>
      </c>
      <c r="AJ657">
        <v>1</v>
      </c>
      <c r="AK657">
        <v>41</v>
      </c>
      <c r="AL657" t="s">
        <v>742</v>
      </c>
      <c r="AM657" t="s">
        <v>161</v>
      </c>
      <c r="AN657" t="s">
        <v>743</v>
      </c>
      <c r="AO657" t="s">
        <v>744</v>
      </c>
      <c r="AP657" t="s">
        <v>745</v>
      </c>
      <c r="AQ657" t="s">
        <v>74</v>
      </c>
      <c r="AR657" t="s">
        <v>733</v>
      </c>
      <c r="AS657" t="s">
        <v>528</v>
      </c>
      <c r="AT657" t="s">
        <v>9687</v>
      </c>
      <c r="AU657">
        <v>2006</v>
      </c>
      <c r="AV657">
        <v>34</v>
      </c>
      <c r="AW657">
        <v>3</v>
      </c>
      <c r="AX657" t="s">
        <v>74</v>
      </c>
      <c r="AY657" t="s">
        <v>74</v>
      </c>
      <c r="AZ657" t="s">
        <v>74</v>
      </c>
      <c r="BA657" t="s">
        <v>74</v>
      </c>
      <c r="BB657">
        <v>169</v>
      </c>
      <c r="BC657">
        <v>172</v>
      </c>
      <c r="BD657" t="s">
        <v>74</v>
      </c>
      <c r="BE657" t="s">
        <v>10171</v>
      </c>
      <c r="BF657" t="str">
        <f>HYPERLINK("http://dx.doi.org/10.1130/G22096.1","http://dx.doi.org/10.1130/G22096.1")</f>
        <v>http://dx.doi.org/10.1130/G22096.1</v>
      </c>
      <c r="BG657" t="s">
        <v>74</v>
      </c>
      <c r="BH657" t="s">
        <v>74</v>
      </c>
      <c r="BI657">
        <v>4</v>
      </c>
      <c r="BJ657" t="s">
        <v>528</v>
      </c>
      <c r="BK657" t="s">
        <v>97</v>
      </c>
      <c r="BL657" t="s">
        <v>528</v>
      </c>
      <c r="BM657" t="s">
        <v>10172</v>
      </c>
      <c r="BN657" t="s">
        <v>74</v>
      </c>
      <c r="BO657" t="s">
        <v>74</v>
      </c>
      <c r="BP657" t="s">
        <v>74</v>
      </c>
      <c r="BQ657" t="s">
        <v>74</v>
      </c>
      <c r="BR657" t="s">
        <v>100</v>
      </c>
      <c r="BS657" t="s">
        <v>10173</v>
      </c>
      <c r="BT657" t="str">
        <f>HYPERLINK("https%3A%2F%2Fwww.webofscience.com%2Fwos%2Fwoscc%2Ffull-record%2FWOS:000235959300012","View Full Record in Web of Science")</f>
        <v>View Full Record in Web of Science</v>
      </c>
    </row>
    <row r="658" spans="1:72" x14ac:dyDescent="0.15">
      <c r="A658" t="s">
        <v>72</v>
      </c>
      <c r="B658" t="s">
        <v>10174</v>
      </c>
      <c r="C658" t="s">
        <v>74</v>
      </c>
      <c r="D658" t="s">
        <v>74</v>
      </c>
      <c r="E658" t="s">
        <v>74</v>
      </c>
      <c r="F658" t="s">
        <v>10174</v>
      </c>
      <c r="G658" t="s">
        <v>74</v>
      </c>
      <c r="H658" t="s">
        <v>74</v>
      </c>
      <c r="I658" t="s">
        <v>10175</v>
      </c>
      <c r="J658" t="s">
        <v>733</v>
      </c>
      <c r="K658" t="s">
        <v>74</v>
      </c>
      <c r="L658" t="s">
        <v>74</v>
      </c>
      <c r="M658" t="s">
        <v>78</v>
      </c>
      <c r="N658" t="s">
        <v>79</v>
      </c>
      <c r="O658" t="s">
        <v>74</v>
      </c>
      <c r="P658" t="s">
        <v>74</v>
      </c>
      <c r="Q658" t="s">
        <v>74</v>
      </c>
      <c r="R658" t="s">
        <v>74</v>
      </c>
      <c r="S658" t="s">
        <v>74</v>
      </c>
      <c r="T658" t="s">
        <v>10176</v>
      </c>
      <c r="U658" t="s">
        <v>10177</v>
      </c>
      <c r="V658" t="s">
        <v>10178</v>
      </c>
      <c r="W658" t="s">
        <v>10179</v>
      </c>
      <c r="X658" t="s">
        <v>10180</v>
      </c>
      <c r="Y658" t="s">
        <v>10181</v>
      </c>
      <c r="Z658" t="s">
        <v>10182</v>
      </c>
      <c r="AA658" t="s">
        <v>10183</v>
      </c>
      <c r="AB658" t="s">
        <v>10184</v>
      </c>
      <c r="AC658" t="s">
        <v>74</v>
      </c>
      <c r="AD658" t="s">
        <v>74</v>
      </c>
      <c r="AE658" t="s">
        <v>74</v>
      </c>
      <c r="AF658" t="s">
        <v>74</v>
      </c>
      <c r="AG658">
        <v>29</v>
      </c>
      <c r="AH658">
        <v>220</v>
      </c>
      <c r="AI658">
        <v>273</v>
      </c>
      <c r="AJ658">
        <v>6</v>
      </c>
      <c r="AK658">
        <v>115</v>
      </c>
      <c r="AL658" t="s">
        <v>10185</v>
      </c>
      <c r="AM658" t="s">
        <v>161</v>
      </c>
      <c r="AN658" t="s">
        <v>743</v>
      </c>
      <c r="AO658" t="s">
        <v>744</v>
      </c>
      <c r="AP658" t="s">
        <v>74</v>
      </c>
      <c r="AQ658" t="s">
        <v>74</v>
      </c>
      <c r="AR658" t="s">
        <v>733</v>
      </c>
      <c r="AS658" t="s">
        <v>528</v>
      </c>
      <c r="AT658" t="s">
        <v>9687</v>
      </c>
      <c r="AU658">
        <v>2006</v>
      </c>
      <c r="AV658">
        <v>34</v>
      </c>
      <c r="AW658">
        <v>3</v>
      </c>
      <c r="AX658" t="s">
        <v>74</v>
      </c>
      <c r="AY658" t="s">
        <v>74</v>
      </c>
      <c r="AZ658" t="s">
        <v>74</v>
      </c>
      <c r="BA658" t="s">
        <v>74</v>
      </c>
      <c r="BB658">
        <v>217</v>
      </c>
      <c r="BC658">
        <v>220</v>
      </c>
      <c r="BD658" t="s">
        <v>74</v>
      </c>
      <c r="BE658" t="s">
        <v>10186</v>
      </c>
      <c r="BF658" t="str">
        <f>HYPERLINK("http://dx.doi.org/10.1130/G22289.1","http://dx.doi.org/10.1130/G22289.1")</f>
        <v>http://dx.doi.org/10.1130/G22289.1</v>
      </c>
      <c r="BG658" t="s">
        <v>74</v>
      </c>
      <c r="BH658" t="s">
        <v>74</v>
      </c>
      <c r="BI658">
        <v>4</v>
      </c>
      <c r="BJ658" t="s">
        <v>528</v>
      </c>
      <c r="BK658" t="s">
        <v>97</v>
      </c>
      <c r="BL658" t="s">
        <v>528</v>
      </c>
      <c r="BM658" t="s">
        <v>10172</v>
      </c>
      <c r="BN658" t="s">
        <v>74</v>
      </c>
      <c r="BO658" t="s">
        <v>74</v>
      </c>
      <c r="BP658" t="s">
        <v>74</v>
      </c>
      <c r="BQ658" t="s">
        <v>74</v>
      </c>
      <c r="BR658" t="s">
        <v>100</v>
      </c>
      <c r="BS658" t="s">
        <v>10187</v>
      </c>
      <c r="BT658" t="str">
        <f>HYPERLINK("https%3A%2F%2Fwww.webofscience.com%2Fwos%2Fwoscc%2Ffull-record%2FWOS:000235959300024","View Full Record in Web of Science")</f>
        <v>View Full Record in Web of Science</v>
      </c>
    </row>
    <row r="659" spans="1:72" x14ac:dyDescent="0.15">
      <c r="A659" t="s">
        <v>72</v>
      </c>
      <c r="B659" t="s">
        <v>10188</v>
      </c>
      <c r="C659" t="s">
        <v>74</v>
      </c>
      <c r="D659" t="s">
        <v>74</v>
      </c>
      <c r="E659" t="s">
        <v>74</v>
      </c>
      <c r="F659" t="s">
        <v>10189</v>
      </c>
      <c r="G659" t="s">
        <v>74</v>
      </c>
      <c r="H659" t="s">
        <v>74</v>
      </c>
      <c r="I659" t="s">
        <v>10190</v>
      </c>
      <c r="J659" t="s">
        <v>6900</v>
      </c>
      <c r="K659" t="s">
        <v>74</v>
      </c>
      <c r="L659" t="s">
        <v>74</v>
      </c>
      <c r="M659" t="s">
        <v>78</v>
      </c>
      <c r="N659" t="s">
        <v>79</v>
      </c>
      <c r="O659" t="s">
        <v>74</v>
      </c>
      <c r="P659" t="s">
        <v>74</v>
      </c>
      <c r="Q659" t="s">
        <v>74</v>
      </c>
      <c r="R659" t="s">
        <v>74</v>
      </c>
      <c r="S659" t="s">
        <v>74</v>
      </c>
      <c r="T659" t="s">
        <v>74</v>
      </c>
      <c r="U659" t="s">
        <v>10191</v>
      </c>
      <c r="V659" t="s">
        <v>10192</v>
      </c>
      <c r="W659" t="s">
        <v>10193</v>
      </c>
      <c r="X659" t="s">
        <v>10194</v>
      </c>
      <c r="Y659" t="s">
        <v>10195</v>
      </c>
      <c r="Z659" t="s">
        <v>74</v>
      </c>
      <c r="AA659" t="s">
        <v>74</v>
      </c>
      <c r="AB659" t="s">
        <v>74</v>
      </c>
      <c r="AC659" t="s">
        <v>74</v>
      </c>
      <c r="AD659" t="s">
        <v>74</v>
      </c>
      <c r="AE659" t="s">
        <v>74</v>
      </c>
      <c r="AF659" t="s">
        <v>74</v>
      </c>
      <c r="AG659">
        <v>25</v>
      </c>
      <c r="AH659">
        <v>1</v>
      </c>
      <c r="AI659">
        <v>1</v>
      </c>
      <c r="AJ659">
        <v>0</v>
      </c>
      <c r="AK659">
        <v>2</v>
      </c>
      <c r="AL659" t="s">
        <v>601</v>
      </c>
      <c r="AM659" t="s">
        <v>476</v>
      </c>
      <c r="AN659" t="s">
        <v>602</v>
      </c>
      <c r="AO659" t="s">
        <v>6907</v>
      </c>
      <c r="AP659" t="s">
        <v>74</v>
      </c>
      <c r="AQ659" t="s">
        <v>74</v>
      </c>
      <c r="AR659" t="s">
        <v>6909</v>
      </c>
      <c r="AS659" t="s">
        <v>6910</v>
      </c>
      <c r="AT659" t="s">
        <v>9687</v>
      </c>
      <c r="AU659">
        <v>2006</v>
      </c>
      <c r="AV659">
        <v>46</v>
      </c>
      <c r="AW659">
        <v>2</v>
      </c>
      <c r="AX659" t="s">
        <v>74</v>
      </c>
      <c r="AY659" t="s">
        <v>74</v>
      </c>
      <c r="AZ659" t="s">
        <v>74</v>
      </c>
      <c r="BA659" t="s">
        <v>74</v>
      </c>
      <c r="BB659">
        <v>166</v>
      </c>
      <c r="BC659">
        <v>172</v>
      </c>
      <c r="BD659" t="s">
        <v>74</v>
      </c>
      <c r="BE659" t="s">
        <v>10196</v>
      </c>
      <c r="BF659" t="str">
        <f>HYPERLINK("http://dx.doi.org/10.1134/S0016793206020058","http://dx.doi.org/10.1134/S0016793206020058")</f>
        <v>http://dx.doi.org/10.1134/S0016793206020058</v>
      </c>
      <c r="BG659" t="s">
        <v>74</v>
      </c>
      <c r="BH659" t="s">
        <v>74</v>
      </c>
      <c r="BI659">
        <v>7</v>
      </c>
      <c r="BJ659" t="s">
        <v>608</v>
      </c>
      <c r="BK659" t="s">
        <v>97</v>
      </c>
      <c r="BL659" t="s">
        <v>608</v>
      </c>
      <c r="BM659" t="s">
        <v>10197</v>
      </c>
      <c r="BN659" t="s">
        <v>74</v>
      </c>
      <c r="BO659" t="s">
        <v>74</v>
      </c>
      <c r="BP659" t="s">
        <v>74</v>
      </c>
      <c r="BQ659" t="s">
        <v>74</v>
      </c>
      <c r="BR659" t="s">
        <v>100</v>
      </c>
      <c r="BS659" t="s">
        <v>10198</v>
      </c>
      <c r="BT659" t="str">
        <f>HYPERLINK("https%3A%2F%2Fwww.webofscience.com%2Fwos%2Fwoscc%2Ffull-record%2FWOS:000244524800005","View Full Record in Web of Science")</f>
        <v>View Full Record in Web of Science</v>
      </c>
    </row>
    <row r="660" spans="1:72" x14ac:dyDescent="0.15">
      <c r="A660" t="s">
        <v>72</v>
      </c>
      <c r="B660" t="s">
        <v>10199</v>
      </c>
      <c r="C660" t="s">
        <v>74</v>
      </c>
      <c r="D660" t="s">
        <v>74</v>
      </c>
      <c r="E660" t="s">
        <v>74</v>
      </c>
      <c r="F660" t="s">
        <v>10199</v>
      </c>
      <c r="G660" t="s">
        <v>74</v>
      </c>
      <c r="H660" t="s">
        <v>74</v>
      </c>
      <c r="I660" t="s">
        <v>10200</v>
      </c>
      <c r="J660" t="s">
        <v>6917</v>
      </c>
      <c r="K660" t="s">
        <v>74</v>
      </c>
      <c r="L660" t="s">
        <v>74</v>
      </c>
      <c r="M660" t="s">
        <v>78</v>
      </c>
      <c r="N660" t="s">
        <v>79</v>
      </c>
      <c r="O660" t="s">
        <v>74</v>
      </c>
      <c r="P660" t="s">
        <v>74</v>
      </c>
      <c r="Q660" t="s">
        <v>74</v>
      </c>
      <c r="R660" t="s">
        <v>74</v>
      </c>
      <c r="S660" t="s">
        <v>74</v>
      </c>
      <c r="T660" t="s">
        <v>74</v>
      </c>
      <c r="U660" t="s">
        <v>10201</v>
      </c>
      <c r="V660" t="s">
        <v>10202</v>
      </c>
      <c r="W660" t="s">
        <v>10203</v>
      </c>
      <c r="X660" t="s">
        <v>10204</v>
      </c>
      <c r="Y660" t="s">
        <v>10205</v>
      </c>
      <c r="Z660" t="s">
        <v>10206</v>
      </c>
      <c r="AA660" t="s">
        <v>74</v>
      </c>
      <c r="AB660" t="s">
        <v>74</v>
      </c>
      <c r="AC660" t="s">
        <v>74</v>
      </c>
      <c r="AD660" t="s">
        <v>74</v>
      </c>
      <c r="AE660" t="s">
        <v>74</v>
      </c>
      <c r="AF660" t="s">
        <v>74</v>
      </c>
      <c r="AG660">
        <v>16</v>
      </c>
      <c r="AH660">
        <v>63</v>
      </c>
      <c r="AI660">
        <v>66</v>
      </c>
      <c r="AJ660">
        <v>0</v>
      </c>
      <c r="AK660">
        <v>13</v>
      </c>
      <c r="AL660" t="s">
        <v>6924</v>
      </c>
      <c r="AM660" t="s">
        <v>6925</v>
      </c>
      <c r="AN660" t="s">
        <v>6926</v>
      </c>
      <c r="AO660" t="s">
        <v>6927</v>
      </c>
      <c r="AP660" t="s">
        <v>74</v>
      </c>
      <c r="AQ660" t="s">
        <v>74</v>
      </c>
      <c r="AR660" t="s">
        <v>6917</v>
      </c>
      <c r="AS660" t="s">
        <v>6929</v>
      </c>
      <c r="AT660" t="s">
        <v>9907</v>
      </c>
      <c r="AU660">
        <v>2006</v>
      </c>
      <c r="AV660">
        <v>71</v>
      </c>
      <c r="AW660">
        <v>2</v>
      </c>
      <c r="AX660" t="s">
        <v>74</v>
      </c>
      <c r="AY660" t="s">
        <v>74</v>
      </c>
      <c r="AZ660" t="s">
        <v>74</v>
      </c>
      <c r="BA660" t="s">
        <v>74</v>
      </c>
      <c r="BB660" t="s">
        <v>10207</v>
      </c>
      <c r="BC660" t="s">
        <v>10208</v>
      </c>
      <c r="BD660" t="s">
        <v>74</v>
      </c>
      <c r="BE660" t="s">
        <v>10209</v>
      </c>
      <c r="BF660" t="str">
        <f>HYPERLINK("http://dx.doi.org/10.1190/1.2187756","http://dx.doi.org/10.1190/1.2187756")</f>
        <v>http://dx.doi.org/10.1190/1.2187756</v>
      </c>
      <c r="BG660" t="s">
        <v>74</v>
      </c>
      <c r="BH660" t="s">
        <v>74</v>
      </c>
      <c r="BI660">
        <v>10</v>
      </c>
      <c r="BJ660" t="s">
        <v>608</v>
      </c>
      <c r="BK660" t="s">
        <v>97</v>
      </c>
      <c r="BL660" t="s">
        <v>608</v>
      </c>
      <c r="BM660" t="s">
        <v>10210</v>
      </c>
      <c r="BN660" t="s">
        <v>74</v>
      </c>
      <c r="BO660" t="s">
        <v>74</v>
      </c>
      <c r="BP660" t="s">
        <v>74</v>
      </c>
      <c r="BQ660" t="s">
        <v>74</v>
      </c>
      <c r="BR660" t="s">
        <v>100</v>
      </c>
      <c r="BS660" t="s">
        <v>10211</v>
      </c>
      <c r="BT660" t="str">
        <f>HYPERLINK("https%3A%2F%2Fwww.webofscience.com%2Fwos%2Fwoscc%2Ffull-record%2FWOS:000236539700016","View Full Record in Web of Science")</f>
        <v>View Full Record in Web of Science</v>
      </c>
    </row>
    <row r="661" spans="1:72" x14ac:dyDescent="0.15">
      <c r="A661" t="s">
        <v>72</v>
      </c>
      <c r="B661" t="s">
        <v>10212</v>
      </c>
      <c r="C661" t="s">
        <v>74</v>
      </c>
      <c r="D661" t="s">
        <v>74</v>
      </c>
      <c r="E661" t="s">
        <v>74</v>
      </c>
      <c r="F661" t="s">
        <v>10212</v>
      </c>
      <c r="G661" t="s">
        <v>74</v>
      </c>
      <c r="H661" t="s">
        <v>74</v>
      </c>
      <c r="I661" t="s">
        <v>10213</v>
      </c>
      <c r="J661" t="s">
        <v>5147</v>
      </c>
      <c r="K661" t="s">
        <v>74</v>
      </c>
      <c r="L661" t="s">
        <v>74</v>
      </c>
      <c r="M661" t="s">
        <v>78</v>
      </c>
      <c r="N661" t="s">
        <v>79</v>
      </c>
      <c r="O661" t="s">
        <v>74</v>
      </c>
      <c r="P661" t="s">
        <v>74</v>
      </c>
      <c r="Q661" t="s">
        <v>74</v>
      </c>
      <c r="R661" t="s">
        <v>74</v>
      </c>
      <c r="S661" t="s">
        <v>74</v>
      </c>
      <c r="T661" t="s">
        <v>74</v>
      </c>
      <c r="U661" t="s">
        <v>74</v>
      </c>
      <c r="V661" t="s">
        <v>74</v>
      </c>
      <c r="W661" t="s">
        <v>10214</v>
      </c>
      <c r="X661" t="s">
        <v>10215</v>
      </c>
      <c r="Y661" t="s">
        <v>74</v>
      </c>
      <c r="Z661" t="s">
        <v>74</v>
      </c>
      <c r="AA661" t="s">
        <v>74</v>
      </c>
      <c r="AB661" t="s">
        <v>74</v>
      </c>
      <c r="AC661" t="s">
        <v>74</v>
      </c>
      <c r="AD661" t="s">
        <v>74</v>
      </c>
      <c r="AE661" t="s">
        <v>74</v>
      </c>
      <c r="AF661" t="s">
        <v>74</v>
      </c>
      <c r="AG661">
        <v>0</v>
      </c>
      <c r="AH661">
        <v>0</v>
      </c>
      <c r="AI661">
        <v>0</v>
      </c>
      <c r="AJ661">
        <v>0</v>
      </c>
      <c r="AK661">
        <v>1</v>
      </c>
      <c r="AL661" t="s">
        <v>5148</v>
      </c>
      <c r="AM661" t="s">
        <v>5149</v>
      </c>
      <c r="AN661" t="s">
        <v>5150</v>
      </c>
      <c r="AO661" t="s">
        <v>5151</v>
      </c>
      <c r="AP661" t="s">
        <v>74</v>
      </c>
      <c r="AQ661" t="s">
        <v>74</v>
      </c>
      <c r="AR661" t="s">
        <v>5147</v>
      </c>
      <c r="AS661" t="s">
        <v>5152</v>
      </c>
      <c r="AT661" t="s">
        <v>9687</v>
      </c>
      <c r="AU661">
        <v>2006</v>
      </c>
      <c r="AV661">
        <v>51</v>
      </c>
      <c r="AW661">
        <v>3</v>
      </c>
      <c r="AX661" t="s">
        <v>74</v>
      </c>
      <c r="AY661" t="s">
        <v>74</v>
      </c>
      <c r="AZ661" t="s">
        <v>74</v>
      </c>
      <c r="BA661" t="s">
        <v>74</v>
      </c>
      <c r="BB661">
        <v>18</v>
      </c>
      <c r="BC661">
        <v>22</v>
      </c>
      <c r="BD661" t="s">
        <v>74</v>
      </c>
      <c r="BE661" t="s">
        <v>74</v>
      </c>
      <c r="BF661" t="s">
        <v>74</v>
      </c>
      <c r="BG661" t="s">
        <v>74</v>
      </c>
      <c r="BH661" t="s">
        <v>74</v>
      </c>
      <c r="BI661">
        <v>5</v>
      </c>
      <c r="BJ661" t="s">
        <v>527</v>
      </c>
      <c r="BK661" t="s">
        <v>97</v>
      </c>
      <c r="BL661" t="s">
        <v>528</v>
      </c>
      <c r="BM661" t="s">
        <v>10216</v>
      </c>
      <c r="BN661" t="s">
        <v>74</v>
      </c>
      <c r="BO661" t="s">
        <v>74</v>
      </c>
      <c r="BP661" t="s">
        <v>74</v>
      </c>
      <c r="BQ661" t="s">
        <v>74</v>
      </c>
      <c r="BR661" t="s">
        <v>100</v>
      </c>
      <c r="BS661" t="s">
        <v>10217</v>
      </c>
      <c r="BT661" t="str">
        <f>HYPERLINK("https%3A%2F%2Fwww.webofscience.com%2Fwos%2Fwoscc%2Ffull-record%2FWOS:000236058700016","View Full Record in Web of Science")</f>
        <v>View Full Record in Web of Science</v>
      </c>
    </row>
    <row r="662" spans="1:72" x14ac:dyDescent="0.15">
      <c r="A662" t="s">
        <v>72</v>
      </c>
      <c r="B662" t="s">
        <v>10218</v>
      </c>
      <c r="C662" t="s">
        <v>74</v>
      </c>
      <c r="D662" t="s">
        <v>74</v>
      </c>
      <c r="E662" t="s">
        <v>74</v>
      </c>
      <c r="F662" t="s">
        <v>10218</v>
      </c>
      <c r="G662" t="s">
        <v>74</v>
      </c>
      <c r="H662" t="s">
        <v>74</v>
      </c>
      <c r="I662" t="s">
        <v>10219</v>
      </c>
      <c r="J662" t="s">
        <v>8466</v>
      </c>
      <c r="K662" t="s">
        <v>74</v>
      </c>
      <c r="L662" t="s">
        <v>74</v>
      </c>
      <c r="M662" t="s">
        <v>78</v>
      </c>
      <c r="N662" t="s">
        <v>79</v>
      </c>
      <c r="O662" t="s">
        <v>74</v>
      </c>
      <c r="P662" t="s">
        <v>74</v>
      </c>
      <c r="Q662" t="s">
        <v>74</v>
      </c>
      <c r="R662" t="s">
        <v>74</v>
      </c>
      <c r="S662" t="s">
        <v>74</v>
      </c>
      <c r="T662" t="s">
        <v>10220</v>
      </c>
      <c r="U662" t="s">
        <v>10221</v>
      </c>
      <c r="V662" t="s">
        <v>10222</v>
      </c>
      <c r="W662" t="s">
        <v>2646</v>
      </c>
      <c r="X662" t="s">
        <v>407</v>
      </c>
      <c r="Y662" t="s">
        <v>7528</v>
      </c>
      <c r="Z662" t="s">
        <v>10223</v>
      </c>
      <c r="AA662" t="s">
        <v>10224</v>
      </c>
      <c r="AB662" t="s">
        <v>74</v>
      </c>
      <c r="AC662" t="s">
        <v>2531</v>
      </c>
      <c r="AD662" t="s">
        <v>413</v>
      </c>
      <c r="AE662" t="s">
        <v>74</v>
      </c>
      <c r="AF662" t="s">
        <v>74</v>
      </c>
      <c r="AG662">
        <v>53</v>
      </c>
      <c r="AH662">
        <v>188</v>
      </c>
      <c r="AI662">
        <v>212</v>
      </c>
      <c r="AJ662">
        <v>13</v>
      </c>
      <c r="AK662">
        <v>188</v>
      </c>
      <c r="AL662" t="s">
        <v>115</v>
      </c>
      <c r="AM662" t="s">
        <v>116</v>
      </c>
      <c r="AN662" t="s">
        <v>117</v>
      </c>
      <c r="AO662" t="s">
        <v>8476</v>
      </c>
      <c r="AP662" t="s">
        <v>8477</v>
      </c>
      <c r="AQ662" t="s">
        <v>74</v>
      </c>
      <c r="AR662" t="s">
        <v>8478</v>
      </c>
      <c r="AS662" t="s">
        <v>8479</v>
      </c>
      <c r="AT662" t="s">
        <v>9687</v>
      </c>
      <c r="AU662">
        <v>2006</v>
      </c>
      <c r="AV662">
        <v>12</v>
      </c>
      <c r="AW662">
        <v>3</v>
      </c>
      <c r="AX662" t="s">
        <v>74</v>
      </c>
      <c r="AY662" t="s">
        <v>74</v>
      </c>
      <c r="AZ662" t="s">
        <v>74</v>
      </c>
      <c r="BA662" t="s">
        <v>74</v>
      </c>
      <c r="BB662">
        <v>411</v>
      </c>
      <c r="BC662">
        <v>423</v>
      </c>
      <c r="BD662" t="s">
        <v>74</v>
      </c>
      <c r="BE662" t="s">
        <v>10225</v>
      </c>
      <c r="BF662" t="str">
        <f>HYPERLINK("http://dx.doi.org/10.1111/j.1365-2486.2006.01108.x","http://dx.doi.org/10.1111/j.1365-2486.2006.01108.x")</f>
        <v>http://dx.doi.org/10.1111/j.1365-2486.2006.01108.x</v>
      </c>
      <c r="BG662" t="s">
        <v>74</v>
      </c>
      <c r="BH662" t="s">
        <v>74</v>
      </c>
      <c r="BI662">
        <v>13</v>
      </c>
      <c r="BJ662" t="s">
        <v>2637</v>
      </c>
      <c r="BK662" t="s">
        <v>97</v>
      </c>
      <c r="BL662" t="s">
        <v>1526</v>
      </c>
      <c r="BM662" t="s">
        <v>10226</v>
      </c>
      <c r="BN662" t="s">
        <v>74</v>
      </c>
      <c r="BO662" t="s">
        <v>147</v>
      </c>
      <c r="BP662" t="s">
        <v>74</v>
      </c>
      <c r="BQ662" t="s">
        <v>74</v>
      </c>
      <c r="BR662" t="s">
        <v>100</v>
      </c>
      <c r="BS662" t="s">
        <v>10227</v>
      </c>
      <c r="BT662" t="str">
        <f>HYPERLINK("https%3A%2F%2Fwww.webofscience.com%2Fwos%2Fwoscc%2Ffull-record%2FWOS:000236023000001","View Full Record in Web of Science")</f>
        <v>View Full Record in Web of Science</v>
      </c>
    </row>
    <row r="663" spans="1:72" x14ac:dyDescent="0.15">
      <c r="A663" t="s">
        <v>72</v>
      </c>
      <c r="B663" t="s">
        <v>10228</v>
      </c>
      <c r="C663" t="s">
        <v>74</v>
      </c>
      <c r="D663" t="s">
        <v>74</v>
      </c>
      <c r="E663" t="s">
        <v>74</v>
      </c>
      <c r="F663" t="s">
        <v>10228</v>
      </c>
      <c r="G663" t="s">
        <v>74</v>
      </c>
      <c r="H663" t="s">
        <v>74</v>
      </c>
      <c r="I663" t="s">
        <v>10229</v>
      </c>
      <c r="J663" t="s">
        <v>10230</v>
      </c>
      <c r="K663" t="s">
        <v>74</v>
      </c>
      <c r="L663" t="s">
        <v>74</v>
      </c>
      <c r="M663" t="s">
        <v>78</v>
      </c>
      <c r="N663" t="s">
        <v>511</v>
      </c>
      <c r="O663" t="s">
        <v>74</v>
      </c>
      <c r="P663" t="s">
        <v>74</v>
      </c>
      <c r="Q663" t="s">
        <v>74</v>
      </c>
      <c r="R663" t="s">
        <v>74</v>
      </c>
      <c r="S663" t="s">
        <v>74</v>
      </c>
      <c r="T663" t="s">
        <v>10231</v>
      </c>
      <c r="U663" t="s">
        <v>10232</v>
      </c>
      <c r="V663" t="s">
        <v>10233</v>
      </c>
      <c r="W663" t="s">
        <v>2646</v>
      </c>
      <c r="X663" t="s">
        <v>407</v>
      </c>
      <c r="Y663" t="s">
        <v>10234</v>
      </c>
      <c r="Z663" t="s">
        <v>9794</v>
      </c>
      <c r="AA663" t="s">
        <v>410</v>
      </c>
      <c r="AB663" t="s">
        <v>1171</v>
      </c>
      <c r="AC663" t="s">
        <v>10235</v>
      </c>
      <c r="AD663" t="s">
        <v>1328</v>
      </c>
      <c r="AE663" t="s">
        <v>74</v>
      </c>
      <c r="AF663" t="s">
        <v>74</v>
      </c>
      <c r="AG663">
        <v>217</v>
      </c>
      <c r="AH663">
        <v>148</v>
      </c>
      <c r="AI663">
        <v>159</v>
      </c>
      <c r="AJ663">
        <v>0</v>
      </c>
      <c r="AK663">
        <v>71</v>
      </c>
      <c r="AL663" t="s">
        <v>115</v>
      </c>
      <c r="AM663" t="s">
        <v>116</v>
      </c>
      <c r="AN663" t="s">
        <v>117</v>
      </c>
      <c r="AO663" t="s">
        <v>10236</v>
      </c>
      <c r="AP663" t="s">
        <v>10237</v>
      </c>
      <c r="AQ663" t="s">
        <v>74</v>
      </c>
      <c r="AR663" t="s">
        <v>10238</v>
      </c>
      <c r="AS663" t="s">
        <v>10239</v>
      </c>
      <c r="AT663" t="s">
        <v>9687</v>
      </c>
      <c r="AU663">
        <v>2006</v>
      </c>
      <c r="AV663">
        <v>15</v>
      </c>
      <c r="AW663">
        <v>2</v>
      </c>
      <c r="AX663" t="s">
        <v>74</v>
      </c>
      <c r="AY663" t="s">
        <v>74</v>
      </c>
      <c r="AZ663" t="s">
        <v>74</v>
      </c>
      <c r="BA663" t="s">
        <v>74</v>
      </c>
      <c r="BB663">
        <v>121</v>
      </c>
      <c r="BC663">
        <v>142</v>
      </c>
      <c r="BD663" t="s">
        <v>74</v>
      </c>
      <c r="BE663" t="s">
        <v>10240</v>
      </c>
      <c r="BF663" t="str">
        <f>HYPERLINK("http://dx.doi.org/10.1111/j.1466-822x.2006.00216.x","http://dx.doi.org/10.1111/j.1466-822x.2006.00216.x")</f>
        <v>http://dx.doi.org/10.1111/j.1466-822x.2006.00216.x</v>
      </c>
      <c r="BG663" t="s">
        <v>74</v>
      </c>
      <c r="BH663" t="s">
        <v>74</v>
      </c>
      <c r="BI663">
        <v>22</v>
      </c>
      <c r="BJ663" t="s">
        <v>3037</v>
      </c>
      <c r="BK663" t="s">
        <v>97</v>
      </c>
      <c r="BL663" t="s">
        <v>145</v>
      </c>
      <c r="BM663" t="s">
        <v>10241</v>
      </c>
      <c r="BN663" t="s">
        <v>74</v>
      </c>
      <c r="BO663" t="s">
        <v>460</v>
      </c>
      <c r="BP663" t="s">
        <v>74</v>
      </c>
      <c r="BQ663" t="s">
        <v>74</v>
      </c>
      <c r="BR663" t="s">
        <v>100</v>
      </c>
      <c r="BS663" t="s">
        <v>10242</v>
      </c>
      <c r="BT663" t="str">
        <f>HYPERLINK("https%3A%2F%2Fwww.webofscience.com%2Fwos%2Fwoscc%2Ffull-record%2FWOS:000235694300002","View Full Record in Web of Science")</f>
        <v>View Full Record in Web of Science</v>
      </c>
    </row>
    <row r="664" spans="1:72" x14ac:dyDescent="0.15">
      <c r="A664" t="s">
        <v>72</v>
      </c>
      <c r="B664" t="s">
        <v>10243</v>
      </c>
      <c r="C664" t="s">
        <v>74</v>
      </c>
      <c r="D664" t="s">
        <v>74</v>
      </c>
      <c r="E664" t="s">
        <v>74</v>
      </c>
      <c r="F664" t="s">
        <v>10243</v>
      </c>
      <c r="G664" t="s">
        <v>74</v>
      </c>
      <c r="H664" t="s">
        <v>74</v>
      </c>
      <c r="I664" t="s">
        <v>10244</v>
      </c>
      <c r="J664" t="s">
        <v>10245</v>
      </c>
      <c r="K664" t="s">
        <v>74</v>
      </c>
      <c r="L664" t="s">
        <v>74</v>
      </c>
      <c r="M664" t="s">
        <v>78</v>
      </c>
      <c r="N664" t="s">
        <v>79</v>
      </c>
      <c r="O664" t="s">
        <v>74</v>
      </c>
      <c r="P664" t="s">
        <v>74</v>
      </c>
      <c r="Q664" t="s">
        <v>74</v>
      </c>
      <c r="R664" t="s">
        <v>74</v>
      </c>
      <c r="S664" t="s">
        <v>74</v>
      </c>
      <c r="T664" t="s">
        <v>10246</v>
      </c>
      <c r="U664" t="s">
        <v>74</v>
      </c>
      <c r="V664" t="s">
        <v>10247</v>
      </c>
      <c r="W664" t="s">
        <v>10248</v>
      </c>
      <c r="X664" t="s">
        <v>10249</v>
      </c>
      <c r="Y664" t="s">
        <v>10250</v>
      </c>
      <c r="Z664" t="s">
        <v>5798</v>
      </c>
      <c r="AA664" t="s">
        <v>5692</v>
      </c>
      <c r="AB664" t="s">
        <v>5693</v>
      </c>
      <c r="AC664" t="s">
        <v>74</v>
      </c>
      <c r="AD664" t="s">
        <v>74</v>
      </c>
      <c r="AE664" t="s">
        <v>74</v>
      </c>
      <c r="AF664" t="s">
        <v>74</v>
      </c>
      <c r="AG664">
        <v>25</v>
      </c>
      <c r="AH664">
        <v>4</v>
      </c>
      <c r="AI664">
        <v>4</v>
      </c>
      <c r="AJ664">
        <v>0</v>
      </c>
      <c r="AK664">
        <v>6</v>
      </c>
      <c r="AL664" t="s">
        <v>10251</v>
      </c>
      <c r="AM664" t="s">
        <v>557</v>
      </c>
      <c r="AN664" t="s">
        <v>10252</v>
      </c>
      <c r="AO664" t="s">
        <v>10253</v>
      </c>
      <c r="AP664" t="s">
        <v>10254</v>
      </c>
      <c r="AQ664" t="s">
        <v>74</v>
      </c>
      <c r="AR664" t="s">
        <v>10255</v>
      </c>
      <c r="AS664" t="s">
        <v>10256</v>
      </c>
      <c r="AT664" t="s">
        <v>9687</v>
      </c>
      <c r="AU664">
        <v>2006</v>
      </c>
      <c r="AV664">
        <v>60</v>
      </c>
      <c r="AW664">
        <v>1</v>
      </c>
      <c r="AX664" t="s">
        <v>74</v>
      </c>
      <c r="AY664" t="s">
        <v>74</v>
      </c>
      <c r="AZ664" t="s">
        <v>74</v>
      </c>
      <c r="BA664" t="s">
        <v>74</v>
      </c>
      <c r="BB664">
        <v>1</v>
      </c>
      <c r="BC664">
        <v>6</v>
      </c>
      <c r="BD664" t="s">
        <v>74</v>
      </c>
      <c r="BE664" t="s">
        <v>10257</v>
      </c>
      <c r="BF664" t="str">
        <f>HYPERLINK("http://dx.doi.org/10.1007/s10152-005-0008-1","http://dx.doi.org/10.1007/s10152-005-0008-1")</f>
        <v>http://dx.doi.org/10.1007/s10152-005-0008-1</v>
      </c>
      <c r="BG664" t="s">
        <v>74</v>
      </c>
      <c r="BH664" t="s">
        <v>74</v>
      </c>
      <c r="BI664">
        <v>6</v>
      </c>
      <c r="BJ664" t="s">
        <v>3284</v>
      </c>
      <c r="BK664" t="s">
        <v>97</v>
      </c>
      <c r="BL664" t="s">
        <v>3284</v>
      </c>
      <c r="BM664" t="s">
        <v>10258</v>
      </c>
      <c r="BN664" t="s">
        <v>74</v>
      </c>
      <c r="BO664" t="s">
        <v>1767</v>
      </c>
      <c r="BP664" t="s">
        <v>74</v>
      </c>
      <c r="BQ664" t="s">
        <v>74</v>
      </c>
      <c r="BR664" t="s">
        <v>100</v>
      </c>
      <c r="BS664" t="s">
        <v>10259</v>
      </c>
      <c r="BT664" t="str">
        <f>HYPERLINK("https%3A%2F%2Fwww.webofscience.com%2Fwos%2Fwoscc%2Ffull-record%2FWOS:000235901700001","View Full Record in Web of Science")</f>
        <v>View Full Record in Web of Science</v>
      </c>
    </row>
    <row r="665" spans="1:72" x14ac:dyDescent="0.15">
      <c r="A665" t="s">
        <v>72</v>
      </c>
      <c r="B665" t="s">
        <v>10260</v>
      </c>
      <c r="C665" t="s">
        <v>74</v>
      </c>
      <c r="D665" t="s">
        <v>74</v>
      </c>
      <c r="E665" t="s">
        <v>74</v>
      </c>
      <c r="F665" t="s">
        <v>10260</v>
      </c>
      <c r="G665" t="s">
        <v>74</v>
      </c>
      <c r="H665" t="s">
        <v>74</v>
      </c>
      <c r="I665" t="s">
        <v>10261</v>
      </c>
      <c r="J665" t="s">
        <v>5171</v>
      </c>
      <c r="K665" t="s">
        <v>74</v>
      </c>
      <c r="L665" t="s">
        <v>74</v>
      </c>
      <c r="M665" t="s">
        <v>78</v>
      </c>
      <c r="N665" t="s">
        <v>1226</v>
      </c>
      <c r="O665" t="s">
        <v>10262</v>
      </c>
      <c r="P665" t="s">
        <v>10263</v>
      </c>
      <c r="Q665" t="s">
        <v>10264</v>
      </c>
      <c r="R665" t="s">
        <v>74</v>
      </c>
      <c r="S665" t="s">
        <v>74</v>
      </c>
      <c r="T665" t="s">
        <v>10265</v>
      </c>
      <c r="U665" t="s">
        <v>10266</v>
      </c>
      <c r="V665" t="s">
        <v>10267</v>
      </c>
      <c r="W665" t="s">
        <v>10268</v>
      </c>
      <c r="X665" t="s">
        <v>10269</v>
      </c>
      <c r="Y665" t="s">
        <v>10270</v>
      </c>
      <c r="Z665" t="s">
        <v>10271</v>
      </c>
      <c r="AA665" t="s">
        <v>74</v>
      </c>
      <c r="AB665" t="s">
        <v>10272</v>
      </c>
      <c r="AC665" t="s">
        <v>74</v>
      </c>
      <c r="AD665" t="s">
        <v>74</v>
      </c>
      <c r="AE665" t="s">
        <v>74</v>
      </c>
      <c r="AF665" t="s">
        <v>74</v>
      </c>
      <c r="AG665">
        <v>39</v>
      </c>
      <c r="AH665">
        <v>22</v>
      </c>
      <c r="AI665">
        <v>23</v>
      </c>
      <c r="AJ665">
        <v>1</v>
      </c>
      <c r="AK665">
        <v>14</v>
      </c>
      <c r="AL665" t="s">
        <v>580</v>
      </c>
      <c r="AM665" t="s">
        <v>388</v>
      </c>
      <c r="AN665" t="s">
        <v>581</v>
      </c>
      <c r="AO665" t="s">
        <v>5183</v>
      </c>
      <c r="AP665" t="s">
        <v>10273</v>
      </c>
      <c r="AQ665" t="s">
        <v>74</v>
      </c>
      <c r="AR665" t="s">
        <v>5184</v>
      </c>
      <c r="AS665" t="s">
        <v>5185</v>
      </c>
      <c r="AT665" t="s">
        <v>9687</v>
      </c>
      <c r="AU665">
        <v>2006</v>
      </c>
      <c r="AV665">
        <v>63</v>
      </c>
      <c r="AW665">
        <v>2</v>
      </c>
      <c r="AX665" t="s">
        <v>74</v>
      </c>
      <c r="AY665" t="s">
        <v>74</v>
      </c>
      <c r="AZ665" t="s">
        <v>74</v>
      </c>
      <c r="BA665" t="s">
        <v>74</v>
      </c>
      <c r="BB665">
        <v>320</v>
      </c>
      <c r="BC665">
        <v>325</v>
      </c>
      <c r="BD665" t="s">
        <v>74</v>
      </c>
      <c r="BE665" t="s">
        <v>10274</v>
      </c>
      <c r="BF665" t="str">
        <f>HYPERLINK("http://dx.doi.org/10.1016/j.icesjms.2005.11.014","http://dx.doi.org/10.1016/j.icesjms.2005.11.014")</f>
        <v>http://dx.doi.org/10.1016/j.icesjms.2005.11.014</v>
      </c>
      <c r="BG665" t="s">
        <v>74</v>
      </c>
      <c r="BH665" t="s">
        <v>74</v>
      </c>
      <c r="BI665">
        <v>6</v>
      </c>
      <c r="BJ665" t="s">
        <v>5187</v>
      </c>
      <c r="BK665" t="s">
        <v>668</v>
      </c>
      <c r="BL665" t="s">
        <v>5187</v>
      </c>
      <c r="BM665" t="s">
        <v>10275</v>
      </c>
      <c r="BN665" t="s">
        <v>74</v>
      </c>
      <c r="BO665" t="s">
        <v>460</v>
      </c>
      <c r="BP665" t="s">
        <v>74</v>
      </c>
      <c r="BQ665" t="s">
        <v>74</v>
      </c>
      <c r="BR665" t="s">
        <v>100</v>
      </c>
      <c r="BS665" t="s">
        <v>10276</v>
      </c>
      <c r="BT665" t="str">
        <f>HYPERLINK("https%3A%2F%2Fwww.webofscience.com%2Fwos%2Fwoscc%2Ffull-record%2FWOS:000236081100016","View Full Record in Web of Science")</f>
        <v>View Full Record in Web of Science</v>
      </c>
    </row>
    <row r="666" spans="1:72" x14ac:dyDescent="0.15">
      <c r="A666" t="s">
        <v>72</v>
      </c>
      <c r="B666" t="s">
        <v>10277</v>
      </c>
      <c r="C666" t="s">
        <v>74</v>
      </c>
      <c r="D666" t="s">
        <v>74</v>
      </c>
      <c r="E666" t="s">
        <v>74</v>
      </c>
      <c r="F666" t="s">
        <v>10278</v>
      </c>
      <c r="G666" t="s">
        <v>74</v>
      </c>
      <c r="H666" t="s">
        <v>74</v>
      </c>
      <c r="I666" t="s">
        <v>10279</v>
      </c>
      <c r="J666" t="s">
        <v>10280</v>
      </c>
      <c r="K666" t="s">
        <v>74</v>
      </c>
      <c r="L666" t="s">
        <v>74</v>
      </c>
      <c r="M666" t="s">
        <v>78</v>
      </c>
      <c r="N666" t="s">
        <v>79</v>
      </c>
      <c r="O666" t="s">
        <v>74</v>
      </c>
      <c r="P666" t="s">
        <v>74</v>
      </c>
      <c r="Q666" t="s">
        <v>74</v>
      </c>
      <c r="R666" t="s">
        <v>74</v>
      </c>
      <c r="S666" t="s">
        <v>74</v>
      </c>
      <c r="T666" t="s">
        <v>74</v>
      </c>
      <c r="U666" t="s">
        <v>10281</v>
      </c>
      <c r="V666" t="s">
        <v>10282</v>
      </c>
      <c r="W666" t="s">
        <v>10283</v>
      </c>
      <c r="X666" t="s">
        <v>10284</v>
      </c>
      <c r="Y666" t="s">
        <v>10285</v>
      </c>
      <c r="Z666" t="s">
        <v>10286</v>
      </c>
      <c r="AA666" t="s">
        <v>10287</v>
      </c>
      <c r="AB666" t="s">
        <v>10288</v>
      </c>
      <c r="AC666" t="s">
        <v>74</v>
      </c>
      <c r="AD666" t="s">
        <v>74</v>
      </c>
      <c r="AE666" t="s">
        <v>74</v>
      </c>
      <c r="AF666" t="s">
        <v>74</v>
      </c>
      <c r="AG666">
        <v>21</v>
      </c>
      <c r="AH666">
        <v>11</v>
      </c>
      <c r="AI666">
        <v>11</v>
      </c>
      <c r="AJ666">
        <v>0</v>
      </c>
      <c r="AK666">
        <v>1</v>
      </c>
      <c r="AL666" t="s">
        <v>601</v>
      </c>
      <c r="AM666" t="s">
        <v>476</v>
      </c>
      <c r="AN666" t="s">
        <v>602</v>
      </c>
      <c r="AO666" t="s">
        <v>10289</v>
      </c>
      <c r="AP666" t="s">
        <v>10290</v>
      </c>
      <c r="AQ666" t="s">
        <v>74</v>
      </c>
      <c r="AR666" t="s">
        <v>10291</v>
      </c>
      <c r="AS666" t="s">
        <v>10292</v>
      </c>
      <c r="AT666" t="s">
        <v>9687</v>
      </c>
      <c r="AU666">
        <v>2006</v>
      </c>
      <c r="AV666">
        <v>42</v>
      </c>
      <c r="AW666">
        <v>2</v>
      </c>
      <c r="AX666" t="s">
        <v>74</v>
      </c>
      <c r="AY666" t="s">
        <v>74</v>
      </c>
      <c r="AZ666" t="s">
        <v>74</v>
      </c>
      <c r="BA666" t="s">
        <v>74</v>
      </c>
      <c r="BB666">
        <v>215</v>
      </c>
      <c r="BC666">
        <v>227</v>
      </c>
      <c r="BD666" t="s">
        <v>74</v>
      </c>
      <c r="BE666" t="s">
        <v>10293</v>
      </c>
      <c r="BF666" t="str">
        <f>HYPERLINK("http://dx.doi.org/10.1134/S0001433806020083","http://dx.doi.org/10.1134/S0001433806020083")</f>
        <v>http://dx.doi.org/10.1134/S0001433806020083</v>
      </c>
      <c r="BG666" t="s">
        <v>74</v>
      </c>
      <c r="BH666" t="s">
        <v>74</v>
      </c>
      <c r="BI666">
        <v>13</v>
      </c>
      <c r="BJ666" t="s">
        <v>9949</v>
      </c>
      <c r="BK666" t="s">
        <v>97</v>
      </c>
      <c r="BL666" t="s">
        <v>9949</v>
      </c>
      <c r="BM666" t="s">
        <v>10294</v>
      </c>
      <c r="BN666" t="s">
        <v>74</v>
      </c>
      <c r="BO666" t="s">
        <v>74</v>
      </c>
      <c r="BP666" t="s">
        <v>74</v>
      </c>
      <c r="BQ666" t="s">
        <v>74</v>
      </c>
      <c r="BR666" t="s">
        <v>100</v>
      </c>
      <c r="BS666" t="s">
        <v>10295</v>
      </c>
      <c r="BT666" t="str">
        <f>HYPERLINK("https%3A%2F%2Fwww.webofscience.com%2Fwos%2Fwoscc%2Ffull-record%2FWOS:000245703600008","View Full Record in Web of Science")</f>
        <v>View Full Record in Web of Science</v>
      </c>
    </row>
    <row r="667" spans="1:72" x14ac:dyDescent="0.15">
      <c r="A667" t="s">
        <v>72</v>
      </c>
      <c r="B667" t="s">
        <v>10296</v>
      </c>
      <c r="C667" t="s">
        <v>74</v>
      </c>
      <c r="D667" t="s">
        <v>74</v>
      </c>
      <c r="E667" t="s">
        <v>74</v>
      </c>
      <c r="F667" t="s">
        <v>10296</v>
      </c>
      <c r="G667" t="s">
        <v>74</v>
      </c>
      <c r="H667" t="s">
        <v>74</v>
      </c>
      <c r="I667" t="s">
        <v>10297</v>
      </c>
      <c r="J667" t="s">
        <v>6938</v>
      </c>
      <c r="K667" t="s">
        <v>74</v>
      </c>
      <c r="L667" t="s">
        <v>74</v>
      </c>
      <c r="M667" t="s">
        <v>78</v>
      </c>
      <c r="N667" t="s">
        <v>79</v>
      </c>
      <c r="O667" t="s">
        <v>74</v>
      </c>
      <c r="P667" t="s">
        <v>74</v>
      </c>
      <c r="Q667" t="s">
        <v>74</v>
      </c>
      <c r="R667" t="s">
        <v>74</v>
      </c>
      <c r="S667" t="s">
        <v>74</v>
      </c>
      <c r="T667" t="s">
        <v>10298</v>
      </c>
      <c r="U667" t="s">
        <v>10299</v>
      </c>
      <c r="V667" t="s">
        <v>10300</v>
      </c>
      <c r="W667" t="s">
        <v>10301</v>
      </c>
      <c r="X667" t="s">
        <v>10302</v>
      </c>
      <c r="Y667" t="s">
        <v>10303</v>
      </c>
      <c r="Z667" t="s">
        <v>10304</v>
      </c>
      <c r="AA667" t="s">
        <v>10305</v>
      </c>
      <c r="AB667" t="s">
        <v>10306</v>
      </c>
      <c r="AC667" t="s">
        <v>74</v>
      </c>
      <c r="AD667" t="s">
        <v>74</v>
      </c>
      <c r="AE667" t="s">
        <v>74</v>
      </c>
      <c r="AF667" t="s">
        <v>74</v>
      </c>
      <c r="AG667">
        <v>81</v>
      </c>
      <c r="AH667">
        <v>79</v>
      </c>
      <c r="AI667">
        <v>88</v>
      </c>
      <c r="AJ667">
        <v>0</v>
      </c>
      <c r="AK667">
        <v>26</v>
      </c>
      <c r="AL667" t="s">
        <v>840</v>
      </c>
      <c r="AM667" t="s">
        <v>388</v>
      </c>
      <c r="AN667" t="s">
        <v>841</v>
      </c>
      <c r="AO667" t="s">
        <v>6948</v>
      </c>
      <c r="AP667" t="s">
        <v>74</v>
      </c>
      <c r="AQ667" t="s">
        <v>74</v>
      </c>
      <c r="AR667" t="s">
        <v>6950</v>
      </c>
      <c r="AS667" t="s">
        <v>6951</v>
      </c>
      <c r="AT667" t="s">
        <v>9687</v>
      </c>
      <c r="AU667">
        <v>2006</v>
      </c>
      <c r="AV667">
        <v>75</v>
      </c>
      <c r="AW667">
        <v>2</v>
      </c>
      <c r="AX667" t="s">
        <v>74</v>
      </c>
      <c r="AY667" t="s">
        <v>74</v>
      </c>
      <c r="AZ667" t="s">
        <v>74</v>
      </c>
      <c r="BA667" t="s">
        <v>74</v>
      </c>
      <c r="BB667">
        <v>358</v>
      </c>
      <c r="BC667">
        <v>367</v>
      </c>
      <c r="BD667" t="s">
        <v>74</v>
      </c>
      <c r="BE667" t="s">
        <v>10307</v>
      </c>
      <c r="BF667" t="str">
        <f>HYPERLINK("http://dx.doi.org/10.1111/j.1365-2656.2006.01055.x","http://dx.doi.org/10.1111/j.1365-2656.2006.01055.x")</f>
        <v>http://dx.doi.org/10.1111/j.1365-2656.2006.01055.x</v>
      </c>
      <c r="BG667" t="s">
        <v>74</v>
      </c>
      <c r="BH667" t="s">
        <v>74</v>
      </c>
      <c r="BI667">
        <v>10</v>
      </c>
      <c r="BJ667" t="s">
        <v>6953</v>
      </c>
      <c r="BK667" t="s">
        <v>97</v>
      </c>
      <c r="BL667" t="s">
        <v>6954</v>
      </c>
      <c r="BM667" t="s">
        <v>10308</v>
      </c>
      <c r="BN667">
        <v>16637989</v>
      </c>
      <c r="BO667" t="s">
        <v>227</v>
      </c>
      <c r="BP667" t="s">
        <v>74</v>
      </c>
      <c r="BQ667" t="s">
        <v>74</v>
      </c>
      <c r="BR667" t="s">
        <v>100</v>
      </c>
      <c r="BS667" t="s">
        <v>10309</v>
      </c>
      <c r="BT667" t="str">
        <f>HYPERLINK("https%3A%2F%2Fwww.webofscience.com%2Fwos%2Fwoscc%2Ffull-record%2FWOS:000236384700005","View Full Record in Web of Science")</f>
        <v>View Full Record in Web of Science</v>
      </c>
    </row>
    <row r="668" spans="1:72" x14ac:dyDescent="0.15">
      <c r="A668" t="s">
        <v>72</v>
      </c>
      <c r="B668" t="s">
        <v>10310</v>
      </c>
      <c r="C668" t="s">
        <v>74</v>
      </c>
      <c r="D668" t="s">
        <v>74</v>
      </c>
      <c r="E668" t="s">
        <v>74</v>
      </c>
      <c r="F668" t="s">
        <v>10310</v>
      </c>
      <c r="G668" t="s">
        <v>74</v>
      </c>
      <c r="H668" t="s">
        <v>74</v>
      </c>
      <c r="I668" t="s">
        <v>10311</v>
      </c>
      <c r="J668" t="s">
        <v>10312</v>
      </c>
      <c r="K668" t="s">
        <v>74</v>
      </c>
      <c r="L668" t="s">
        <v>74</v>
      </c>
      <c r="M668" t="s">
        <v>78</v>
      </c>
      <c r="N668" t="s">
        <v>79</v>
      </c>
      <c r="O668" t="s">
        <v>74</v>
      </c>
      <c r="P668" t="s">
        <v>74</v>
      </c>
      <c r="Q668" t="s">
        <v>74</v>
      </c>
      <c r="R668" t="s">
        <v>74</v>
      </c>
      <c r="S668" t="s">
        <v>74</v>
      </c>
      <c r="T668" t="s">
        <v>74</v>
      </c>
      <c r="U668" t="s">
        <v>74</v>
      </c>
      <c r="V668" t="s">
        <v>10313</v>
      </c>
      <c r="W668" t="s">
        <v>10314</v>
      </c>
      <c r="X668" t="s">
        <v>10315</v>
      </c>
      <c r="Y668" t="s">
        <v>10316</v>
      </c>
      <c r="Z668" t="s">
        <v>10317</v>
      </c>
      <c r="AA668" t="s">
        <v>10318</v>
      </c>
      <c r="AB668" t="s">
        <v>10319</v>
      </c>
      <c r="AC668" t="s">
        <v>74</v>
      </c>
      <c r="AD668" t="s">
        <v>74</v>
      </c>
      <c r="AE668" t="s">
        <v>74</v>
      </c>
      <c r="AF668" t="s">
        <v>74</v>
      </c>
      <c r="AG668">
        <v>26</v>
      </c>
      <c r="AH668">
        <v>103</v>
      </c>
      <c r="AI668">
        <v>122</v>
      </c>
      <c r="AJ668">
        <v>1</v>
      </c>
      <c r="AK668">
        <v>11</v>
      </c>
      <c r="AL668" t="s">
        <v>861</v>
      </c>
      <c r="AM668" t="s">
        <v>862</v>
      </c>
      <c r="AN668" t="s">
        <v>863</v>
      </c>
      <c r="AO668" t="s">
        <v>10320</v>
      </c>
      <c r="AP668" t="s">
        <v>10321</v>
      </c>
      <c r="AQ668" t="s">
        <v>74</v>
      </c>
      <c r="AR668" t="s">
        <v>10322</v>
      </c>
      <c r="AS668" t="s">
        <v>10323</v>
      </c>
      <c r="AT668" t="s">
        <v>9687</v>
      </c>
      <c r="AU668">
        <v>2006</v>
      </c>
      <c r="AV668">
        <v>23</v>
      </c>
      <c r="AW668">
        <v>3</v>
      </c>
      <c r="AX668" t="s">
        <v>74</v>
      </c>
      <c r="AY668" t="s">
        <v>74</v>
      </c>
      <c r="AZ668" t="s">
        <v>74</v>
      </c>
      <c r="BA668" t="s">
        <v>74</v>
      </c>
      <c r="BB668">
        <v>437</v>
      </c>
      <c r="BC668">
        <v>447</v>
      </c>
      <c r="BD668" t="s">
        <v>74</v>
      </c>
      <c r="BE668" t="s">
        <v>10324</v>
      </c>
      <c r="BF668" t="str">
        <f>HYPERLINK("http://dx.doi.org/10.1175/JTECH1833.1","http://dx.doi.org/10.1175/JTECH1833.1")</f>
        <v>http://dx.doi.org/10.1175/JTECH1833.1</v>
      </c>
      <c r="BG668" t="s">
        <v>74</v>
      </c>
      <c r="BH668" t="s">
        <v>74</v>
      </c>
      <c r="BI668">
        <v>11</v>
      </c>
      <c r="BJ668" t="s">
        <v>10325</v>
      </c>
      <c r="BK668" t="s">
        <v>97</v>
      </c>
      <c r="BL668" t="s">
        <v>10326</v>
      </c>
      <c r="BM668" t="s">
        <v>10327</v>
      </c>
      <c r="BN668" t="s">
        <v>74</v>
      </c>
      <c r="BO668" t="s">
        <v>901</v>
      </c>
      <c r="BP668" t="s">
        <v>74</v>
      </c>
      <c r="BQ668" t="s">
        <v>74</v>
      </c>
      <c r="BR668" t="s">
        <v>100</v>
      </c>
      <c r="BS668" t="s">
        <v>10328</v>
      </c>
      <c r="BT668" t="str">
        <f>HYPERLINK("https%3A%2F%2Fwww.webofscience.com%2Fwos%2Fwoscc%2Ffull-record%2FWOS:000236908500009","View Full Record in Web of Science")</f>
        <v>View Full Record in Web of Science</v>
      </c>
    </row>
    <row r="669" spans="1:72" x14ac:dyDescent="0.15">
      <c r="A669" t="s">
        <v>72</v>
      </c>
      <c r="B669" t="s">
        <v>10329</v>
      </c>
      <c r="C669" t="s">
        <v>74</v>
      </c>
      <c r="D669" t="s">
        <v>74</v>
      </c>
      <c r="E669" t="s">
        <v>74</v>
      </c>
      <c r="F669" t="s">
        <v>10329</v>
      </c>
      <c r="G669" t="s">
        <v>74</v>
      </c>
      <c r="H669" t="s">
        <v>74</v>
      </c>
      <c r="I669" t="s">
        <v>10330</v>
      </c>
      <c r="J669" t="s">
        <v>2985</v>
      </c>
      <c r="K669" t="s">
        <v>74</v>
      </c>
      <c r="L669" t="s">
        <v>74</v>
      </c>
      <c r="M669" t="s">
        <v>78</v>
      </c>
      <c r="N669" t="s">
        <v>79</v>
      </c>
      <c r="O669" t="s">
        <v>74</v>
      </c>
      <c r="P669" t="s">
        <v>74</v>
      </c>
      <c r="Q669" t="s">
        <v>74</v>
      </c>
      <c r="R669" t="s">
        <v>74</v>
      </c>
      <c r="S669" t="s">
        <v>74</v>
      </c>
      <c r="T669" t="s">
        <v>10331</v>
      </c>
      <c r="U669" t="s">
        <v>10332</v>
      </c>
      <c r="V669" t="s">
        <v>10333</v>
      </c>
      <c r="W669" t="s">
        <v>10334</v>
      </c>
      <c r="X669" t="s">
        <v>10335</v>
      </c>
      <c r="Y669" t="s">
        <v>10336</v>
      </c>
      <c r="Z669" t="s">
        <v>10337</v>
      </c>
      <c r="AA669" t="s">
        <v>10338</v>
      </c>
      <c r="AB669" t="s">
        <v>10339</v>
      </c>
      <c r="AC669" t="s">
        <v>74</v>
      </c>
      <c r="AD669" t="s">
        <v>74</v>
      </c>
      <c r="AE669" t="s">
        <v>74</v>
      </c>
      <c r="AF669" t="s">
        <v>74</v>
      </c>
      <c r="AG669">
        <v>32</v>
      </c>
      <c r="AH669">
        <v>14</v>
      </c>
      <c r="AI669">
        <v>14</v>
      </c>
      <c r="AJ669">
        <v>0</v>
      </c>
      <c r="AK669">
        <v>2</v>
      </c>
      <c r="AL669" t="s">
        <v>387</v>
      </c>
      <c r="AM669" t="s">
        <v>388</v>
      </c>
      <c r="AN669" t="s">
        <v>389</v>
      </c>
      <c r="AO669" t="s">
        <v>2996</v>
      </c>
      <c r="AP669" t="s">
        <v>2997</v>
      </c>
      <c r="AQ669" t="s">
        <v>74</v>
      </c>
      <c r="AR669" t="s">
        <v>2998</v>
      </c>
      <c r="AS669" t="s">
        <v>2999</v>
      </c>
      <c r="AT669" t="s">
        <v>9687</v>
      </c>
      <c r="AU669">
        <v>2006</v>
      </c>
      <c r="AV669">
        <v>68</v>
      </c>
      <c r="AW669">
        <v>6</v>
      </c>
      <c r="AX669" t="s">
        <v>74</v>
      </c>
      <c r="AY669" t="s">
        <v>74</v>
      </c>
      <c r="AZ669" t="s">
        <v>74</v>
      </c>
      <c r="BA669" t="s">
        <v>74</v>
      </c>
      <c r="BB669">
        <v>639</v>
      </c>
      <c r="BC669">
        <v>654</v>
      </c>
      <c r="BD669" t="s">
        <v>74</v>
      </c>
      <c r="BE669" t="s">
        <v>10340</v>
      </c>
      <c r="BF669" t="str">
        <f>HYPERLINK("http://dx.doi.org/10.1016/j.jastp.2005.10.008","http://dx.doi.org/10.1016/j.jastp.2005.10.008")</f>
        <v>http://dx.doi.org/10.1016/j.jastp.2005.10.008</v>
      </c>
      <c r="BG669" t="s">
        <v>74</v>
      </c>
      <c r="BH669" t="s">
        <v>74</v>
      </c>
      <c r="BI669">
        <v>16</v>
      </c>
      <c r="BJ669" t="s">
        <v>3001</v>
      </c>
      <c r="BK669" t="s">
        <v>97</v>
      </c>
      <c r="BL669" t="s">
        <v>3001</v>
      </c>
      <c r="BM669" t="s">
        <v>10341</v>
      </c>
      <c r="BN669" t="s">
        <v>74</v>
      </c>
      <c r="BO669" t="s">
        <v>74</v>
      </c>
      <c r="BP669" t="s">
        <v>74</v>
      </c>
      <c r="BQ669" t="s">
        <v>74</v>
      </c>
      <c r="BR669" t="s">
        <v>100</v>
      </c>
      <c r="BS669" t="s">
        <v>10342</v>
      </c>
      <c r="BT669" t="str">
        <f>HYPERLINK("https%3A%2F%2Fwww.webofscience.com%2Fwos%2Fwoscc%2Ffull-record%2FWOS:000236431800004","View Full Record in Web of Science")</f>
        <v>View Full Record in Web of Science</v>
      </c>
    </row>
    <row r="670" spans="1:72" x14ac:dyDescent="0.15">
      <c r="A670" t="s">
        <v>72</v>
      </c>
      <c r="B670" t="s">
        <v>10343</v>
      </c>
      <c r="C670" t="s">
        <v>74</v>
      </c>
      <c r="D670" t="s">
        <v>74</v>
      </c>
      <c r="E670" t="s">
        <v>74</v>
      </c>
      <c r="F670" t="s">
        <v>10343</v>
      </c>
      <c r="G670" t="s">
        <v>74</v>
      </c>
      <c r="H670" t="s">
        <v>74</v>
      </c>
      <c r="I670" t="s">
        <v>10344</v>
      </c>
      <c r="J670" t="s">
        <v>10345</v>
      </c>
      <c r="K670" t="s">
        <v>74</v>
      </c>
      <c r="L670" t="s">
        <v>74</v>
      </c>
      <c r="M670" t="s">
        <v>78</v>
      </c>
      <c r="N670" t="s">
        <v>511</v>
      </c>
      <c r="O670" t="s">
        <v>74</v>
      </c>
      <c r="P670" t="s">
        <v>74</v>
      </c>
      <c r="Q670" t="s">
        <v>74</v>
      </c>
      <c r="R670" t="s">
        <v>74</v>
      </c>
      <c r="S670" t="s">
        <v>74</v>
      </c>
      <c r="T670" t="s">
        <v>10346</v>
      </c>
      <c r="U670" t="s">
        <v>10347</v>
      </c>
      <c r="V670" t="s">
        <v>10348</v>
      </c>
      <c r="W670" t="s">
        <v>10349</v>
      </c>
      <c r="X670" t="s">
        <v>10350</v>
      </c>
      <c r="Y670" t="s">
        <v>10351</v>
      </c>
      <c r="Z670" t="s">
        <v>10352</v>
      </c>
      <c r="AA670" t="s">
        <v>74</v>
      </c>
      <c r="AB670" t="s">
        <v>74</v>
      </c>
      <c r="AC670" t="s">
        <v>74</v>
      </c>
      <c r="AD670" t="s">
        <v>74</v>
      </c>
      <c r="AE670" t="s">
        <v>74</v>
      </c>
      <c r="AF670" t="s">
        <v>74</v>
      </c>
      <c r="AG670">
        <v>66</v>
      </c>
      <c r="AH670">
        <v>140</v>
      </c>
      <c r="AI670">
        <v>165</v>
      </c>
      <c r="AJ670">
        <v>8</v>
      </c>
      <c r="AK670">
        <v>95</v>
      </c>
      <c r="AL670" t="s">
        <v>914</v>
      </c>
      <c r="AM670" t="s">
        <v>915</v>
      </c>
      <c r="AN670" t="s">
        <v>916</v>
      </c>
      <c r="AO670" t="s">
        <v>10353</v>
      </c>
      <c r="AP670" t="s">
        <v>10354</v>
      </c>
      <c r="AQ670" t="s">
        <v>74</v>
      </c>
      <c r="AR670" t="s">
        <v>10355</v>
      </c>
      <c r="AS670" t="s">
        <v>10356</v>
      </c>
      <c r="AT670" t="s">
        <v>9687</v>
      </c>
      <c r="AU670">
        <v>2006</v>
      </c>
      <c r="AV670">
        <v>31</v>
      </c>
      <c r="AW670">
        <v>1</v>
      </c>
      <c r="AX670" t="s">
        <v>74</v>
      </c>
      <c r="AY670" t="s">
        <v>74</v>
      </c>
      <c r="AZ670" t="s">
        <v>74</v>
      </c>
      <c r="BA670" t="s">
        <v>74</v>
      </c>
      <c r="BB670">
        <v>157</v>
      </c>
      <c r="BC670">
        <v>165</v>
      </c>
      <c r="BD670" t="s">
        <v>74</v>
      </c>
      <c r="BE670" t="s">
        <v>10357</v>
      </c>
      <c r="BF670" t="str">
        <f>HYPERLINK("http://dx.doi.org/10.1007/BF02705244","http://dx.doi.org/10.1007/BF02705244")</f>
        <v>http://dx.doi.org/10.1007/BF02705244</v>
      </c>
      <c r="BG670" t="s">
        <v>74</v>
      </c>
      <c r="BH670" t="s">
        <v>74</v>
      </c>
      <c r="BI670">
        <v>9</v>
      </c>
      <c r="BJ670" t="s">
        <v>5369</v>
      </c>
      <c r="BK670" t="s">
        <v>97</v>
      </c>
      <c r="BL670" t="s">
        <v>5370</v>
      </c>
      <c r="BM670" t="s">
        <v>10358</v>
      </c>
      <c r="BN670">
        <v>16595884</v>
      </c>
      <c r="BO670" t="s">
        <v>74</v>
      </c>
      <c r="BP670" t="s">
        <v>74</v>
      </c>
      <c r="BQ670" t="s">
        <v>74</v>
      </c>
      <c r="BR670" t="s">
        <v>100</v>
      </c>
      <c r="BS670" t="s">
        <v>10359</v>
      </c>
      <c r="BT670" t="str">
        <f>HYPERLINK("https%3A%2F%2Fwww.webofscience.com%2Fwos%2Fwoscc%2Ffull-record%2FWOS:000236375100017","View Full Record in Web of Science")</f>
        <v>View Full Record in Web of Science</v>
      </c>
    </row>
    <row r="671" spans="1:72" x14ac:dyDescent="0.15">
      <c r="A671" t="s">
        <v>72</v>
      </c>
      <c r="B671" t="s">
        <v>10360</v>
      </c>
      <c r="C671" t="s">
        <v>74</v>
      </c>
      <c r="D671" t="s">
        <v>74</v>
      </c>
      <c r="E671" t="s">
        <v>74</v>
      </c>
      <c r="F671" t="s">
        <v>10360</v>
      </c>
      <c r="G671" t="s">
        <v>74</v>
      </c>
      <c r="H671" t="s">
        <v>74</v>
      </c>
      <c r="I671" t="s">
        <v>10361</v>
      </c>
      <c r="J671" t="s">
        <v>10362</v>
      </c>
      <c r="K671" t="s">
        <v>74</v>
      </c>
      <c r="L671" t="s">
        <v>74</v>
      </c>
      <c r="M671" t="s">
        <v>78</v>
      </c>
      <c r="N671" t="s">
        <v>79</v>
      </c>
      <c r="O671" t="s">
        <v>74</v>
      </c>
      <c r="P671" t="s">
        <v>74</v>
      </c>
      <c r="Q671" t="s">
        <v>74</v>
      </c>
      <c r="R671" t="s">
        <v>74</v>
      </c>
      <c r="S671" t="s">
        <v>74</v>
      </c>
      <c r="T671" t="s">
        <v>74</v>
      </c>
      <c r="U671" t="s">
        <v>10363</v>
      </c>
      <c r="V671" t="s">
        <v>10364</v>
      </c>
      <c r="W671" t="s">
        <v>10365</v>
      </c>
      <c r="X671" t="s">
        <v>6794</v>
      </c>
      <c r="Y671" t="s">
        <v>10366</v>
      </c>
      <c r="Z671" t="s">
        <v>10367</v>
      </c>
      <c r="AA671" t="s">
        <v>74</v>
      </c>
      <c r="AB671" t="s">
        <v>10368</v>
      </c>
      <c r="AC671" t="s">
        <v>74</v>
      </c>
      <c r="AD671" t="s">
        <v>74</v>
      </c>
      <c r="AE671" t="s">
        <v>74</v>
      </c>
      <c r="AF671" t="s">
        <v>74</v>
      </c>
      <c r="AG671">
        <v>86</v>
      </c>
      <c r="AH671">
        <v>300</v>
      </c>
      <c r="AI671">
        <v>322</v>
      </c>
      <c r="AJ671">
        <v>1</v>
      </c>
      <c r="AK671">
        <v>21</v>
      </c>
      <c r="AL671" t="s">
        <v>3502</v>
      </c>
      <c r="AM671" t="s">
        <v>3503</v>
      </c>
      <c r="AN671" t="s">
        <v>3504</v>
      </c>
      <c r="AO671" t="s">
        <v>10369</v>
      </c>
      <c r="AP671" t="s">
        <v>10370</v>
      </c>
      <c r="AQ671" t="s">
        <v>74</v>
      </c>
      <c r="AR671" t="s">
        <v>10371</v>
      </c>
      <c r="AS671" t="s">
        <v>10372</v>
      </c>
      <c r="AT671" t="s">
        <v>9687</v>
      </c>
      <c r="AU671">
        <v>2006</v>
      </c>
      <c r="AV671">
        <v>114</v>
      </c>
      <c r="AW671">
        <v>2</v>
      </c>
      <c r="AX671" t="s">
        <v>74</v>
      </c>
      <c r="AY671" t="s">
        <v>74</v>
      </c>
      <c r="AZ671" t="s">
        <v>74</v>
      </c>
      <c r="BA671" t="s">
        <v>74</v>
      </c>
      <c r="BB671">
        <v>189</v>
      </c>
      <c r="BC671">
        <v>210</v>
      </c>
      <c r="BD671" t="s">
        <v>74</v>
      </c>
      <c r="BE671" t="s">
        <v>10373</v>
      </c>
      <c r="BF671" t="str">
        <f>HYPERLINK("http://dx.doi.org/10.1086/499570","http://dx.doi.org/10.1086/499570")</f>
        <v>http://dx.doi.org/10.1086/499570</v>
      </c>
      <c r="BG671" t="s">
        <v>74</v>
      </c>
      <c r="BH671" t="s">
        <v>74</v>
      </c>
      <c r="BI671">
        <v>22</v>
      </c>
      <c r="BJ671" t="s">
        <v>528</v>
      </c>
      <c r="BK671" t="s">
        <v>97</v>
      </c>
      <c r="BL671" t="s">
        <v>528</v>
      </c>
      <c r="BM671" t="s">
        <v>10374</v>
      </c>
      <c r="BN671" t="s">
        <v>74</v>
      </c>
      <c r="BO671" t="s">
        <v>99</v>
      </c>
      <c r="BP671" t="s">
        <v>74</v>
      </c>
      <c r="BQ671" t="s">
        <v>74</v>
      </c>
      <c r="BR671" t="s">
        <v>100</v>
      </c>
      <c r="BS671" t="s">
        <v>10375</v>
      </c>
      <c r="BT671" t="str">
        <f>HYPERLINK("https%3A%2F%2Fwww.webofscience.com%2Fwos%2Fwoscc%2Ffull-record%2FWOS:000235213800004","View Full Record in Web of Science")</f>
        <v>View Full Record in Web of Science</v>
      </c>
    </row>
    <row r="672" spans="1:72" x14ac:dyDescent="0.15">
      <c r="A672" t="s">
        <v>72</v>
      </c>
      <c r="B672" t="s">
        <v>10376</v>
      </c>
      <c r="C672" t="s">
        <v>74</v>
      </c>
      <c r="D672" t="s">
        <v>74</v>
      </c>
      <c r="E672" t="s">
        <v>74</v>
      </c>
      <c r="F672" t="s">
        <v>10376</v>
      </c>
      <c r="G672" t="s">
        <v>74</v>
      </c>
      <c r="H672" t="s">
        <v>74</v>
      </c>
      <c r="I672" t="s">
        <v>10377</v>
      </c>
      <c r="J672" t="s">
        <v>10378</v>
      </c>
      <c r="K672" t="s">
        <v>74</v>
      </c>
      <c r="L672" t="s">
        <v>74</v>
      </c>
      <c r="M672" t="s">
        <v>78</v>
      </c>
      <c r="N672" t="s">
        <v>79</v>
      </c>
      <c r="O672" t="s">
        <v>74</v>
      </c>
      <c r="P672" t="s">
        <v>74</v>
      </c>
      <c r="Q672" t="s">
        <v>74</v>
      </c>
      <c r="R672" t="s">
        <v>74</v>
      </c>
      <c r="S672" t="s">
        <v>74</v>
      </c>
      <c r="T672" t="s">
        <v>10379</v>
      </c>
      <c r="U672" t="s">
        <v>10380</v>
      </c>
      <c r="V672" t="s">
        <v>10381</v>
      </c>
      <c r="W672" t="s">
        <v>10382</v>
      </c>
      <c r="X672" t="s">
        <v>10383</v>
      </c>
      <c r="Y672" t="s">
        <v>7928</v>
      </c>
      <c r="Z672" t="s">
        <v>10384</v>
      </c>
      <c r="AA672" t="s">
        <v>10385</v>
      </c>
      <c r="AB672" t="s">
        <v>10386</v>
      </c>
      <c r="AC672" t="s">
        <v>74</v>
      </c>
      <c r="AD672" t="s">
        <v>74</v>
      </c>
      <c r="AE672" t="s">
        <v>74</v>
      </c>
      <c r="AF672" t="s">
        <v>74</v>
      </c>
      <c r="AG672">
        <v>82</v>
      </c>
      <c r="AH672">
        <v>68</v>
      </c>
      <c r="AI672">
        <v>77</v>
      </c>
      <c r="AJ672">
        <v>1</v>
      </c>
      <c r="AK672">
        <v>9</v>
      </c>
      <c r="AL672" t="s">
        <v>580</v>
      </c>
      <c r="AM672" t="s">
        <v>388</v>
      </c>
      <c r="AN672" t="s">
        <v>581</v>
      </c>
      <c r="AO672" t="s">
        <v>10387</v>
      </c>
      <c r="AP672" t="s">
        <v>10388</v>
      </c>
      <c r="AQ672" t="s">
        <v>74</v>
      </c>
      <c r="AR672" t="s">
        <v>10389</v>
      </c>
      <c r="AS672" t="s">
        <v>10390</v>
      </c>
      <c r="AT672" t="s">
        <v>9687</v>
      </c>
      <c r="AU672">
        <v>2006</v>
      </c>
      <c r="AV672">
        <v>47</v>
      </c>
      <c r="AW672">
        <v>3</v>
      </c>
      <c r="AX672" t="s">
        <v>74</v>
      </c>
      <c r="AY672" t="s">
        <v>74</v>
      </c>
      <c r="AZ672" t="s">
        <v>74</v>
      </c>
      <c r="BA672" t="s">
        <v>74</v>
      </c>
      <c r="BB672">
        <v>541</v>
      </c>
      <c r="BC672">
        <v>566</v>
      </c>
      <c r="BD672" t="s">
        <v>74</v>
      </c>
      <c r="BE672" t="s">
        <v>10391</v>
      </c>
      <c r="BF672" t="str">
        <f>HYPERLINK("http://dx.doi.org/10.1093/petrology/egi085","http://dx.doi.org/10.1093/petrology/egi085")</f>
        <v>http://dx.doi.org/10.1093/petrology/egi085</v>
      </c>
      <c r="BG672" t="s">
        <v>74</v>
      </c>
      <c r="BH672" t="s">
        <v>74</v>
      </c>
      <c r="BI672">
        <v>26</v>
      </c>
      <c r="BJ672" t="s">
        <v>608</v>
      </c>
      <c r="BK672" t="s">
        <v>97</v>
      </c>
      <c r="BL672" t="s">
        <v>608</v>
      </c>
      <c r="BM672" t="s">
        <v>10392</v>
      </c>
      <c r="BN672" t="s">
        <v>74</v>
      </c>
      <c r="BO672" t="s">
        <v>460</v>
      </c>
      <c r="BP672" t="s">
        <v>74</v>
      </c>
      <c r="BQ672" t="s">
        <v>74</v>
      </c>
      <c r="BR672" t="s">
        <v>100</v>
      </c>
      <c r="BS672" t="s">
        <v>10393</v>
      </c>
      <c r="BT672" t="str">
        <f>HYPERLINK("https%3A%2F%2Fwww.webofscience.com%2Fwos%2Fwoscc%2Ffull-record%2FWOS:000235430800005","View Full Record in Web of Science")</f>
        <v>View Full Record in Web of Science</v>
      </c>
    </row>
    <row r="673" spans="1:72" x14ac:dyDescent="0.15">
      <c r="A673" t="s">
        <v>72</v>
      </c>
      <c r="B673" t="s">
        <v>10394</v>
      </c>
      <c r="C673" t="s">
        <v>74</v>
      </c>
      <c r="D673" t="s">
        <v>74</v>
      </c>
      <c r="E673" t="s">
        <v>74</v>
      </c>
      <c r="F673" t="s">
        <v>10394</v>
      </c>
      <c r="G673" t="s">
        <v>74</v>
      </c>
      <c r="H673" t="s">
        <v>74</v>
      </c>
      <c r="I673" t="s">
        <v>10395</v>
      </c>
      <c r="J673" t="s">
        <v>1056</v>
      </c>
      <c r="K673" t="s">
        <v>74</v>
      </c>
      <c r="L673" t="s">
        <v>74</v>
      </c>
      <c r="M673" t="s">
        <v>78</v>
      </c>
      <c r="N673" t="s">
        <v>79</v>
      </c>
      <c r="O673" t="s">
        <v>74</v>
      </c>
      <c r="P673" t="s">
        <v>74</v>
      </c>
      <c r="Q673" t="s">
        <v>74</v>
      </c>
      <c r="R673" t="s">
        <v>74</v>
      </c>
      <c r="S673" t="s">
        <v>74</v>
      </c>
      <c r="T673" t="s">
        <v>74</v>
      </c>
      <c r="U673" t="s">
        <v>10396</v>
      </c>
      <c r="V673" t="s">
        <v>10397</v>
      </c>
      <c r="W673" t="s">
        <v>10398</v>
      </c>
      <c r="X673" t="s">
        <v>10399</v>
      </c>
      <c r="Y673" t="s">
        <v>10400</v>
      </c>
      <c r="Z673" t="s">
        <v>10401</v>
      </c>
      <c r="AA673" t="s">
        <v>74</v>
      </c>
      <c r="AB673" t="s">
        <v>74</v>
      </c>
      <c r="AC673" t="s">
        <v>74</v>
      </c>
      <c r="AD673" t="s">
        <v>74</v>
      </c>
      <c r="AE673" t="s">
        <v>74</v>
      </c>
      <c r="AF673" t="s">
        <v>74</v>
      </c>
      <c r="AG673">
        <v>25</v>
      </c>
      <c r="AH673">
        <v>27</v>
      </c>
      <c r="AI673">
        <v>30</v>
      </c>
      <c r="AJ673">
        <v>0</v>
      </c>
      <c r="AK673">
        <v>10</v>
      </c>
      <c r="AL673" t="s">
        <v>861</v>
      </c>
      <c r="AM673" t="s">
        <v>862</v>
      </c>
      <c r="AN673" t="s">
        <v>863</v>
      </c>
      <c r="AO673" t="s">
        <v>1065</v>
      </c>
      <c r="AP673" t="s">
        <v>1083</v>
      </c>
      <c r="AQ673" t="s">
        <v>74</v>
      </c>
      <c r="AR673" t="s">
        <v>1066</v>
      </c>
      <c r="AS673" t="s">
        <v>1067</v>
      </c>
      <c r="AT673" t="s">
        <v>9687</v>
      </c>
      <c r="AU673">
        <v>2006</v>
      </c>
      <c r="AV673">
        <v>36</v>
      </c>
      <c r="AW673">
        <v>3</v>
      </c>
      <c r="AX673" t="s">
        <v>74</v>
      </c>
      <c r="AY673" t="s">
        <v>74</v>
      </c>
      <c r="AZ673" t="s">
        <v>74</v>
      </c>
      <c r="BA673" t="s">
        <v>74</v>
      </c>
      <c r="BB673">
        <v>543</v>
      </c>
      <c r="BC673">
        <v>550</v>
      </c>
      <c r="BD673" t="s">
        <v>74</v>
      </c>
      <c r="BE673" t="s">
        <v>10402</v>
      </c>
      <c r="BF673" t="str">
        <f>HYPERLINK("http://dx.doi.org/10.1175/JPO2858.1","http://dx.doi.org/10.1175/JPO2858.1")</f>
        <v>http://dx.doi.org/10.1175/JPO2858.1</v>
      </c>
      <c r="BG673" t="s">
        <v>74</v>
      </c>
      <c r="BH673" t="s">
        <v>74</v>
      </c>
      <c r="BI673">
        <v>8</v>
      </c>
      <c r="BJ673" t="s">
        <v>1069</v>
      </c>
      <c r="BK673" t="s">
        <v>97</v>
      </c>
      <c r="BL673" t="s">
        <v>1069</v>
      </c>
      <c r="BM673" t="s">
        <v>10403</v>
      </c>
      <c r="BN673" t="s">
        <v>74</v>
      </c>
      <c r="BO673" t="s">
        <v>460</v>
      </c>
      <c r="BP673" t="s">
        <v>74</v>
      </c>
      <c r="BQ673" t="s">
        <v>74</v>
      </c>
      <c r="BR673" t="s">
        <v>100</v>
      </c>
      <c r="BS673" t="s">
        <v>10404</v>
      </c>
      <c r="BT673" t="str">
        <f>HYPERLINK("https%3A%2F%2Fwww.webofscience.com%2Fwos%2Fwoscc%2Ffull-record%2FWOS:000236908700017","View Full Record in Web of Science")</f>
        <v>View Full Record in Web of Science</v>
      </c>
    </row>
    <row r="674" spans="1:72" x14ac:dyDescent="0.15">
      <c r="A674" t="s">
        <v>72</v>
      </c>
      <c r="B674" t="s">
        <v>10405</v>
      </c>
      <c r="C674" t="s">
        <v>74</v>
      </c>
      <c r="D674" t="s">
        <v>74</v>
      </c>
      <c r="E674" t="s">
        <v>74</v>
      </c>
      <c r="F674" t="s">
        <v>10405</v>
      </c>
      <c r="G674" t="s">
        <v>74</v>
      </c>
      <c r="H674" t="s">
        <v>74</v>
      </c>
      <c r="I674" t="s">
        <v>10406</v>
      </c>
      <c r="J674" t="s">
        <v>10407</v>
      </c>
      <c r="K674" t="s">
        <v>74</v>
      </c>
      <c r="L674" t="s">
        <v>74</v>
      </c>
      <c r="M674" t="s">
        <v>78</v>
      </c>
      <c r="N674" t="s">
        <v>79</v>
      </c>
      <c r="O674" t="s">
        <v>74</v>
      </c>
      <c r="P674" t="s">
        <v>74</v>
      </c>
      <c r="Q674" t="s">
        <v>74</v>
      </c>
      <c r="R674" t="s">
        <v>74</v>
      </c>
      <c r="S674" t="s">
        <v>74</v>
      </c>
      <c r="T674" t="s">
        <v>74</v>
      </c>
      <c r="U674" t="s">
        <v>10408</v>
      </c>
      <c r="V674" t="s">
        <v>10409</v>
      </c>
      <c r="W674" t="s">
        <v>10410</v>
      </c>
      <c r="X674" t="s">
        <v>10411</v>
      </c>
      <c r="Y674" t="s">
        <v>10412</v>
      </c>
      <c r="Z674" t="s">
        <v>10413</v>
      </c>
      <c r="AA674" t="s">
        <v>10414</v>
      </c>
      <c r="AB674" t="s">
        <v>10415</v>
      </c>
      <c r="AC674" t="s">
        <v>74</v>
      </c>
      <c r="AD674" t="s">
        <v>74</v>
      </c>
      <c r="AE674" t="s">
        <v>74</v>
      </c>
      <c r="AF674" t="s">
        <v>74</v>
      </c>
      <c r="AG674">
        <v>96</v>
      </c>
      <c r="AH674">
        <v>19</v>
      </c>
      <c r="AI674">
        <v>20</v>
      </c>
      <c r="AJ674">
        <v>1</v>
      </c>
      <c r="AK674">
        <v>8</v>
      </c>
      <c r="AL674" t="s">
        <v>10416</v>
      </c>
      <c r="AM674" t="s">
        <v>6925</v>
      </c>
      <c r="AN674" t="s">
        <v>10417</v>
      </c>
      <c r="AO674" t="s">
        <v>10418</v>
      </c>
      <c r="AP674" t="s">
        <v>10419</v>
      </c>
      <c r="AQ674" t="s">
        <v>74</v>
      </c>
      <c r="AR674" t="s">
        <v>10420</v>
      </c>
      <c r="AS674" t="s">
        <v>10421</v>
      </c>
      <c r="AT674" t="s">
        <v>9907</v>
      </c>
      <c r="AU674">
        <v>2006</v>
      </c>
      <c r="AV674">
        <v>76</v>
      </c>
      <c r="AW674" t="s">
        <v>1243</v>
      </c>
      <c r="AX674" t="s">
        <v>74</v>
      </c>
      <c r="AY674" t="s">
        <v>74</v>
      </c>
      <c r="AZ674" t="s">
        <v>74</v>
      </c>
      <c r="BA674" t="s">
        <v>74</v>
      </c>
      <c r="BB674">
        <v>605</v>
      </c>
      <c r="BC674">
        <v>617</v>
      </c>
      <c r="BD674" t="s">
        <v>74</v>
      </c>
      <c r="BE674" t="s">
        <v>10422</v>
      </c>
      <c r="BF674" t="str">
        <f>HYPERLINK("http://dx.doi.org/10.2110/jsr.2006.050","http://dx.doi.org/10.2110/jsr.2006.050")</f>
        <v>http://dx.doi.org/10.2110/jsr.2006.050</v>
      </c>
      <c r="BG674" t="s">
        <v>74</v>
      </c>
      <c r="BH674" t="s">
        <v>74</v>
      </c>
      <c r="BI674">
        <v>13</v>
      </c>
      <c r="BJ674" t="s">
        <v>528</v>
      </c>
      <c r="BK674" t="s">
        <v>97</v>
      </c>
      <c r="BL674" t="s">
        <v>528</v>
      </c>
      <c r="BM674" t="s">
        <v>10423</v>
      </c>
      <c r="BN674" t="s">
        <v>74</v>
      </c>
      <c r="BO674" t="s">
        <v>74</v>
      </c>
      <c r="BP674" t="s">
        <v>74</v>
      </c>
      <c r="BQ674" t="s">
        <v>74</v>
      </c>
      <c r="BR674" t="s">
        <v>100</v>
      </c>
      <c r="BS674" t="s">
        <v>10424</v>
      </c>
      <c r="BT674" t="str">
        <f>HYPERLINK("https%3A%2F%2Fwww.webofscience.com%2Fwos%2Fwoscc%2Ffull-record%2FWOS:000237166100017","View Full Record in Web of Science")</f>
        <v>View Full Record in Web of Science</v>
      </c>
    </row>
    <row r="675" spans="1:72" x14ac:dyDescent="0.15">
      <c r="A675" t="s">
        <v>72</v>
      </c>
      <c r="B675" t="s">
        <v>10425</v>
      </c>
      <c r="C675" t="s">
        <v>74</v>
      </c>
      <c r="D675" t="s">
        <v>74</v>
      </c>
      <c r="E675" t="s">
        <v>74</v>
      </c>
      <c r="F675" t="s">
        <v>10425</v>
      </c>
      <c r="G675" t="s">
        <v>74</v>
      </c>
      <c r="H675" t="s">
        <v>74</v>
      </c>
      <c r="I675" t="s">
        <v>10426</v>
      </c>
      <c r="J675" t="s">
        <v>3269</v>
      </c>
      <c r="K675" t="s">
        <v>74</v>
      </c>
      <c r="L675" t="s">
        <v>74</v>
      </c>
      <c r="M675" t="s">
        <v>78</v>
      </c>
      <c r="N675" t="s">
        <v>79</v>
      </c>
      <c r="O675" t="s">
        <v>74</v>
      </c>
      <c r="P675" t="s">
        <v>74</v>
      </c>
      <c r="Q675" t="s">
        <v>74</v>
      </c>
      <c r="R675" t="s">
        <v>74</v>
      </c>
      <c r="S675" t="s">
        <v>74</v>
      </c>
      <c r="T675" t="s">
        <v>74</v>
      </c>
      <c r="U675" t="s">
        <v>10427</v>
      </c>
      <c r="V675" t="s">
        <v>10428</v>
      </c>
      <c r="W675" t="s">
        <v>2646</v>
      </c>
      <c r="X675" t="s">
        <v>407</v>
      </c>
      <c r="Y675" t="s">
        <v>7528</v>
      </c>
      <c r="Z675" t="s">
        <v>10429</v>
      </c>
      <c r="AA675" t="s">
        <v>10430</v>
      </c>
      <c r="AB675" t="s">
        <v>10431</v>
      </c>
      <c r="AC675" t="s">
        <v>74</v>
      </c>
      <c r="AD675" t="s">
        <v>74</v>
      </c>
      <c r="AE675" t="s">
        <v>74</v>
      </c>
      <c r="AF675" t="s">
        <v>74</v>
      </c>
      <c r="AG675">
        <v>34</v>
      </c>
      <c r="AH675">
        <v>76</v>
      </c>
      <c r="AI675">
        <v>88</v>
      </c>
      <c r="AJ675">
        <v>0</v>
      </c>
      <c r="AK675">
        <v>25</v>
      </c>
      <c r="AL675" t="s">
        <v>115</v>
      </c>
      <c r="AM675" t="s">
        <v>116</v>
      </c>
      <c r="AN675" t="s">
        <v>117</v>
      </c>
      <c r="AO675" t="s">
        <v>3278</v>
      </c>
      <c r="AP675" t="s">
        <v>3279</v>
      </c>
      <c r="AQ675" t="s">
        <v>74</v>
      </c>
      <c r="AR675" t="s">
        <v>3280</v>
      </c>
      <c r="AS675" t="s">
        <v>3281</v>
      </c>
      <c r="AT675" t="s">
        <v>9687</v>
      </c>
      <c r="AU675">
        <v>2006</v>
      </c>
      <c r="AV675">
        <v>51</v>
      </c>
      <c r="AW675">
        <v>2</v>
      </c>
      <c r="AX675" t="s">
        <v>74</v>
      </c>
      <c r="AY675" t="s">
        <v>74</v>
      </c>
      <c r="AZ675" t="s">
        <v>74</v>
      </c>
      <c r="BA675" t="s">
        <v>74</v>
      </c>
      <c r="BB675">
        <v>959</v>
      </c>
      <c r="BC675">
        <v>972</v>
      </c>
      <c r="BD675" t="s">
        <v>74</v>
      </c>
      <c r="BE675" t="s">
        <v>10432</v>
      </c>
      <c r="BF675" t="str">
        <f>HYPERLINK("http://dx.doi.org/10.4319/lo.2006.51.2.0959","http://dx.doi.org/10.4319/lo.2006.51.2.0959")</f>
        <v>http://dx.doi.org/10.4319/lo.2006.51.2.0959</v>
      </c>
      <c r="BG675" t="s">
        <v>74</v>
      </c>
      <c r="BH675" t="s">
        <v>74</v>
      </c>
      <c r="BI675">
        <v>14</v>
      </c>
      <c r="BJ675" t="s">
        <v>3283</v>
      </c>
      <c r="BK675" t="s">
        <v>97</v>
      </c>
      <c r="BL675" t="s">
        <v>3284</v>
      </c>
      <c r="BM675" t="s">
        <v>10433</v>
      </c>
      <c r="BN675" t="s">
        <v>74</v>
      </c>
      <c r="BO675" t="s">
        <v>460</v>
      </c>
      <c r="BP675" t="s">
        <v>74</v>
      </c>
      <c r="BQ675" t="s">
        <v>74</v>
      </c>
      <c r="BR675" t="s">
        <v>100</v>
      </c>
      <c r="BS675" t="s">
        <v>10434</v>
      </c>
      <c r="BT675" t="str">
        <f>HYPERLINK("https%3A%2F%2Fwww.webofscience.com%2Fwos%2Fwoscc%2Ffull-record%2FWOS:000236343600016","View Full Record in Web of Science")</f>
        <v>View Full Record in Web of Science</v>
      </c>
    </row>
    <row r="676" spans="1:72" x14ac:dyDescent="0.15">
      <c r="A676" t="s">
        <v>72</v>
      </c>
      <c r="B676" t="s">
        <v>10435</v>
      </c>
      <c r="C676" t="s">
        <v>74</v>
      </c>
      <c r="D676" t="s">
        <v>74</v>
      </c>
      <c r="E676" t="s">
        <v>74</v>
      </c>
      <c r="F676" t="s">
        <v>10435</v>
      </c>
      <c r="G676" t="s">
        <v>74</v>
      </c>
      <c r="H676" t="s">
        <v>74</v>
      </c>
      <c r="I676" t="s">
        <v>10436</v>
      </c>
      <c r="J676" t="s">
        <v>3269</v>
      </c>
      <c r="K676" t="s">
        <v>74</v>
      </c>
      <c r="L676" t="s">
        <v>74</v>
      </c>
      <c r="M676" t="s">
        <v>78</v>
      </c>
      <c r="N676" t="s">
        <v>79</v>
      </c>
      <c r="O676" t="s">
        <v>74</v>
      </c>
      <c r="P676" t="s">
        <v>74</v>
      </c>
      <c r="Q676" t="s">
        <v>74</v>
      </c>
      <c r="R676" t="s">
        <v>74</v>
      </c>
      <c r="S676" t="s">
        <v>74</v>
      </c>
      <c r="T676" t="s">
        <v>74</v>
      </c>
      <c r="U676" t="s">
        <v>10437</v>
      </c>
      <c r="V676" t="s">
        <v>10438</v>
      </c>
      <c r="W676" t="s">
        <v>10439</v>
      </c>
      <c r="X676" t="s">
        <v>10440</v>
      </c>
      <c r="Y676" t="s">
        <v>7528</v>
      </c>
      <c r="Z676" t="s">
        <v>10441</v>
      </c>
      <c r="AA676" t="s">
        <v>10442</v>
      </c>
      <c r="AB676" t="s">
        <v>10431</v>
      </c>
      <c r="AC676" t="s">
        <v>74</v>
      </c>
      <c r="AD676" t="s">
        <v>74</v>
      </c>
      <c r="AE676" t="s">
        <v>74</v>
      </c>
      <c r="AF676" t="s">
        <v>74</v>
      </c>
      <c r="AG676">
        <v>54</v>
      </c>
      <c r="AH676">
        <v>149</v>
      </c>
      <c r="AI676">
        <v>168</v>
      </c>
      <c r="AJ676">
        <v>2</v>
      </c>
      <c r="AK676">
        <v>45</v>
      </c>
      <c r="AL676" t="s">
        <v>115</v>
      </c>
      <c r="AM676" t="s">
        <v>116</v>
      </c>
      <c r="AN676" t="s">
        <v>117</v>
      </c>
      <c r="AO676" t="s">
        <v>3278</v>
      </c>
      <c r="AP676" t="s">
        <v>3279</v>
      </c>
      <c r="AQ676" t="s">
        <v>74</v>
      </c>
      <c r="AR676" t="s">
        <v>3280</v>
      </c>
      <c r="AS676" t="s">
        <v>3281</v>
      </c>
      <c r="AT676" t="s">
        <v>9687</v>
      </c>
      <c r="AU676">
        <v>2006</v>
      </c>
      <c r="AV676">
        <v>51</v>
      </c>
      <c r="AW676">
        <v>2</v>
      </c>
      <c r="AX676" t="s">
        <v>74</v>
      </c>
      <c r="AY676" t="s">
        <v>74</v>
      </c>
      <c r="AZ676" t="s">
        <v>74</v>
      </c>
      <c r="BA676" t="s">
        <v>74</v>
      </c>
      <c r="BB676">
        <v>973</v>
      </c>
      <c r="BC676">
        <v>987</v>
      </c>
      <c r="BD676" t="s">
        <v>74</v>
      </c>
      <c r="BE676" t="s">
        <v>10443</v>
      </c>
      <c r="BF676" t="str">
        <f>HYPERLINK("http://dx.doi.org/10.4319/lo.2006.51.2.0973","http://dx.doi.org/10.4319/lo.2006.51.2.0973")</f>
        <v>http://dx.doi.org/10.4319/lo.2006.51.2.0973</v>
      </c>
      <c r="BG676" t="s">
        <v>74</v>
      </c>
      <c r="BH676" t="s">
        <v>74</v>
      </c>
      <c r="BI676">
        <v>15</v>
      </c>
      <c r="BJ676" t="s">
        <v>3283</v>
      </c>
      <c r="BK676" t="s">
        <v>97</v>
      </c>
      <c r="BL676" t="s">
        <v>3284</v>
      </c>
      <c r="BM676" t="s">
        <v>10433</v>
      </c>
      <c r="BN676" t="s">
        <v>74</v>
      </c>
      <c r="BO676" t="s">
        <v>74</v>
      </c>
      <c r="BP676" t="s">
        <v>74</v>
      </c>
      <c r="BQ676" t="s">
        <v>74</v>
      </c>
      <c r="BR676" t="s">
        <v>100</v>
      </c>
      <c r="BS676" t="s">
        <v>10444</v>
      </c>
      <c r="BT676" t="str">
        <f>HYPERLINK("https%3A%2F%2Fwww.webofscience.com%2Fwos%2Fwoscc%2Ffull-record%2FWOS:000236343600017","View Full Record in Web of Science")</f>
        <v>View Full Record in Web of Science</v>
      </c>
    </row>
    <row r="677" spans="1:72" x14ac:dyDescent="0.15">
      <c r="A677" t="s">
        <v>72</v>
      </c>
      <c r="B677" t="s">
        <v>10445</v>
      </c>
      <c r="C677" t="s">
        <v>74</v>
      </c>
      <c r="D677" t="s">
        <v>74</v>
      </c>
      <c r="E677" t="s">
        <v>74</v>
      </c>
      <c r="F677" t="s">
        <v>10445</v>
      </c>
      <c r="G677" t="s">
        <v>74</v>
      </c>
      <c r="H677" t="s">
        <v>74</v>
      </c>
      <c r="I677" t="s">
        <v>10446</v>
      </c>
      <c r="J677" t="s">
        <v>3269</v>
      </c>
      <c r="K677" t="s">
        <v>74</v>
      </c>
      <c r="L677" t="s">
        <v>74</v>
      </c>
      <c r="M677" t="s">
        <v>78</v>
      </c>
      <c r="N677" t="s">
        <v>79</v>
      </c>
      <c r="O677" t="s">
        <v>74</v>
      </c>
      <c r="P677" t="s">
        <v>74</v>
      </c>
      <c r="Q677" t="s">
        <v>74</v>
      </c>
      <c r="R677" t="s">
        <v>74</v>
      </c>
      <c r="S677" t="s">
        <v>74</v>
      </c>
      <c r="T677" t="s">
        <v>74</v>
      </c>
      <c r="U677" t="s">
        <v>10447</v>
      </c>
      <c r="V677" t="s">
        <v>10448</v>
      </c>
      <c r="W677" t="s">
        <v>10449</v>
      </c>
      <c r="X677" t="s">
        <v>10450</v>
      </c>
      <c r="Y677" t="s">
        <v>10451</v>
      </c>
      <c r="Z677" t="s">
        <v>74</v>
      </c>
      <c r="AA677" t="s">
        <v>74</v>
      </c>
      <c r="AB677" t="s">
        <v>74</v>
      </c>
      <c r="AC677" t="s">
        <v>74</v>
      </c>
      <c r="AD677" t="s">
        <v>74</v>
      </c>
      <c r="AE677" t="s">
        <v>74</v>
      </c>
      <c r="AF677" t="s">
        <v>74</v>
      </c>
      <c r="AG677">
        <v>62</v>
      </c>
      <c r="AH677">
        <v>74</v>
      </c>
      <c r="AI677">
        <v>81</v>
      </c>
      <c r="AJ677">
        <v>1</v>
      </c>
      <c r="AK677">
        <v>29</v>
      </c>
      <c r="AL677" t="s">
        <v>7137</v>
      </c>
      <c r="AM677" t="s">
        <v>7138</v>
      </c>
      <c r="AN677" t="s">
        <v>7139</v>
      </c>
      <c r="AO677" t="s">
        <v>3278</v>
      </c>
      <c r="AP677" t="s">
        <v>74</v>
      </c>
      <c r="AQ677" t="s">
        <v>74</v>
      </c>
      <c r="AR677" t="s">
        <v>3280</v>
      </c>
      <c r="AS677" t="s">
        <v>3281</v>
      </c>
      <c r="AT677" t="s">
        <v>9687</v>
      </c>
      <c r="AU677">
        <v>2006</v>
      </c>
      <c r="AV677">
        <v>51</v>
      </c>
      <c r="AW677">
        <v>2</v>
      </c>
      <c r="AX677" t="s">
        <v>74</v>
      </c>
      <c r="AY677" t="s">
        <v>74</v>
      </c>
      <c r="AZ677" t="s">
        <v>74</v>
      </c>
      <c r="BA677" t="s">
        <v>74</v>
      </c>
      <c r="BB677">
        <v>1180</v>
      </c>
      <c r="BC677">
        <v>1194</v>
      </c>
      <c r="BD677" t="s">
        <v>74</v>
      </c>
      <c r="BE677" t="s">
        <v>10452</v>
      </c>
      <c r="BF677" t="str">
        <f>HYPERLINK("http://dx.doi.org/10.4319/lo.2006.51.2.1180","http://dx.doi.org/10.4319/lo.2006.51.2.1180")</f>
        <v>http://dx.doi.org/10.4319/lo.2006.51.2.1180</v>
      </c>
      <c r="BG677" t="s">
        <v>74</v>
      </c>
      <c r="BH677" t="s">
        <v>74</v>
      </c>
      <c r="BI677">
        <v>15</v>
      </c>
      <c r="BJ677" t="s">
        <v>3283</v>
      </c>
      <c r="BK677" t="s">
        <v>97</v>
      </c>
      <c r="BL677" t="s">
        <v>3284</v>
      </c>
      <c r="BM677" t="s">
        <v>10433</v>
      </c>
      <c r="BN677" t="s">
        <v>74</v>
      </c>
      <c r="BO677" t="s">
        <v>74</v>
      </c>
      <c r="BP677" t="s">
        <v>74</v>
      </c>
      <c r="BQ677" t="s">
        <v>74</v>
      </c>
      <c r="BR677" t="s">
        <v>100</v>
      </c>
      <c r="BS677" t="s">
        <v>10453</v>
      </c>
      <c r="BT677" t="str">
        <f>HYPERLINK("https%3A%2F%2Fwww.webofscience.com%2Fwos%2Fwoscc%2Ffull-record%2FWOS:000236343600038","View Full Record in Web of Science")</f>
        <v>View Full Record in Web of Science</v>
      </c>
    </row>
    <row r="678" spans="1:72" x14ac:dyDescent="0.15">
      <c r="A678" t="s">
        <v>72</v>
      </c>
      <c r="B678" t="s">
        <v>10454</v>
      </c>
      <c r="C678" t="s">
        <v>74</v>
      </c>
      <c r="D678" t="s">
        <v>74</v>
      </c>
      <c r="E678" t="s">
        <v>74</v>
      </c>
      <c r="F678" t="s">
        <v>10454</v>
      </c>
      <c r="G678" t="s">
        <v>74</v>
      </c>
      <c r="H678" t="s">
        <v>74</v>
      </c>
      <c r="I678" t="s">
        <v>10455</v>
      </c>
      <c r="J678" t="s">
        <v>10456</v>
      </c>
      <c r="K678" t="s">
        <v>74</v>
      </c>
      <c r="L678" t="s">
        <v>74</v>
      </c>
      <c r="M678" t="s">
        <v>78</v>
      </c>
      <c r="N678" t="s">
        <v>79</v>
      </c>
      <c r="O678" t="s">
        <v>74</v>
      </c>
      <c r="P678" t="s">
        <v>74</v>
      </c>
      <c r="Q678" t="s">
        <v>74</v>
      </c>
      <c r="R678" t="s">
        <v>74</v>
      </c>
      <c r="S678" t="s">
        <v>74</v>
      </c>
      <c r="T678" t="s">
        <v>10457</v>
      </c>
      <c r="U678" t="s">
        <v>10458</v>
      </c>
      <c r="V678" t="s">
        <v>10459</v>
      </c>
      <c r="W678" t="s">
        <v>10460</v>
      </c>
      <c r="X678" t="s">
        <v>10461</v>
      </c>
      <c r="Y678" t="s">
        <v>10462</v>
      </c>
      <c r="Z678" t="s">
        <v>10463</v>
      </c>
      <c r="AA678" t="s">
        <v>74</v>
      </c>
      <c r="AB678" t="s">
        <v>74</v>
      </c>
      <c r="AC678" t="s">
        <v>74</v>
      </c>
      <c r="AD678" t="s">
        <v>74</v>
      </c>
      <c r="AE678" t="s">
        <v>74</v>
      </c>
      <c r="AF678" t="s">
        <v>74</v>
      </c>
      <c r="AG678">
        <v>30</v>
      </c>
      <c r="AH678">
        <v>36</v>
      </c>
      <c r="AI678">
        <v>40</v>
      </c>
      <c r="AJ678">
        <v>3</v>
      </c>
      <c r="AK678">
        <v>20</v>
      </c>
      <c r="AL678" t="s">
        <v>994</v>
      </c>
      <c r="AM678" t="s">
        <v>4805</v>
      </c>
      <c r="AN678" t="s">
        <v>4806</v>
      </c>
      <c r="AO678" t="s">
        <v>5497</v>
      </c>
      <c r="AP678" t="s">
        <v>74</v>
      </c>
      <c r="AQ678" t="s">
        <v>74</v>
      </c>
      <c r="AR678" t="s">
        <v>5499</v>
      </c>
      <c r="AS678" t="s">
        <v>5500</v>
      </c>
      <c r="AT678" t="s">
        <v>9687</v>
      </c>
      <c r="AU678">
        <v>2006</v>
      </c>
      <c r="AV678">
        <v>27</v>
      </c>
      <c r="AW678">
        <v>1</v>
      </c>
      <c r="AX678" t="s">
        <v>74</v>
      </c>
      <c r="AY678" t="s">
        <v>74</v>
      </c>
      <c r="AZ678" t="s">
        <v>74</v>
      </c>
      <c r="BA678" t="s">
        <v>74</v>
      </c>
      <c r="BB678">
        <v>1</v>
      </c>
      <c r="BC678">
        <v>5</v>
      </c>
      <c r="BD678" t="s">
        <v>74</v>
      </c>
      <c r="BE678" t="s">
        <v>10464</v>
      </c>
      <c r="BF678" t="str">
        <f>HYPERLINK("http://dx.doi.org/10.1007/s11001-006-8181-4","http://dx.doi.org/10.1007/s11001-006-8181-4")</f>
        <v>http://dx.doi.org/10.1007/s11001-006-8181-4</v>
      </c>
      <c r="BG678" t="s">
        <v>74</v>
      </c>
      <c r="BH678" t="s">
        <v>74</v>
      </c>
      <c r="BI678">
        <v>5</v>
      </c>
      <c r="BJ678" t="s">
        <v>5502</v>
      </c>
      <c r="BK678" t="s">
        <v>97</v>
      </c>
      <c r="BL678" t="s">
        <v>5502</v>
      </c>
      <c r="BM678" t="s">
        <v>10465</v>
      </c>
      <c r="BN678" t="s">
        <v>74</v>
      </c>
      <c r="BO678" t="s">
        <v>74</v>
      </c>
      <c r="BP678" t="s">
        <v>74</v>
      </c>
      <c r="BQ678" t="s">
        <v>74</v>
      </c>
      <c r="BR678" t="s">
        <v>100</v>
      </c>
      <c r="BS678" t="s">
        <v>10466</v>
      </c>
      <c r="BT678" t="str">
        <f>HYPERLINK("https%3A%2F%2Fwww.webofscience.com%2Fwos%2Fwoscc%2Ffull-record%2FWOS:000237437700001","View Full Record in Web of Science")</f>
        <v>View Full Record in Web of Science</v>
      </c>
    </row>
    <row r="679" spans="1:72" x14ac:dyDescent="0.15">
      <c r="A679" t="s">
        <v>72</v>
      </c>
      <c r="B679" t="s">
        <v>10467</v>
      </c>
      <c r="C679" t="s">
        <v>74</v>
      </c>
      <c r="D679" t="s">
        <v>74</v>
      </c>
      <c r="E679" t="s">
        <v>74</v>
      </c>
      <c r="F679" t="s">
        <v>10467</v>
      </c>
      <c r="G679" t="s">
        <v>74</v>
      </c>
      <c r="H679" t="s">
        <v>74</v>
      </c>
      <c r="I679" t="s">
        <v>10468</v>
      </c>
      <c r="J679" t="s">
        <v>10469</v>
      </c>
      <c r="K679" t="s">
        <v>74</v>
      </c>
      <c r="L679" t="s">
        <v>74</v>
      </c>
      <c r="M679" t="s">
        <v>78</v>
      </c>
      <c r="N679" t="s">
        <v>79</v>
      </c>
      <c r="O679" t="s">
        <v>74</v>
      </c>
      <c r="P679" t="s">
        <v>74</v>
      </c>
      <c r="Q679" t="s">
        <v>74</v>
      </c>
      <c r="R679" t="s">
        <v>74</v>
      </c>
      <c r="S679" t="s">
        <v>74</v>
      </c>
      <c r="T679" t="s">
        <v>10470</v>
      </c>
      <c r="U679" t="s">
        <v>74</v>
      </c>
      <c r="V679" t="s">
        <v>10471</v>
      </c>
      <c r="W679" t="s">
        <v>10472</v>
      </c>
      <c r="X679" t="s">
        <v>4630</v>
      </c>
      <c r="Y679" t="s">
        <v>10473</v>
      </c>
      <c r="Z679" t="s">
        <v>10474</v>
      </c>
      <c r="AA679" t="s">
        <v>74</v>
      </c>
      <c r="AB679" t="s">
        <v>74</v>
      </c>
      <c r="AC679" t="s">
        <v>74</v>
      </c>
      <c r="AD679" t="s">
        <v>74</v>
      </c>
      <c r="AE679" t="s">
        <v>74</v>
      </c>
      <c r="AF679" t="s">
        <v>74</v>
      </c>
      <c r="AG679">
        <v>16</v>
      </c>
      <c r="AH679">
        <v>37</v>
      </c>
      <c r="AI679">
        <v>41</v>
      </c>
      <c r="AJ679">
        <v>0</v>
      </c>
      <c r="AK679">
        <v>13</v>
      </c>
      <c r="AL679" t="s">
        <v>2630</v>
      </c>
      <c r="AM679" t="s">
        <v>388</v>
      </c>
      <c r="AN679" t="s">
        <v>2631</v>
      </c>
      <c r="AO679" t="s">
        <v>10475</v>
      </c>
      <c r="AP679" t="s">
        <v>10476</v>
      </c>
      <c r="AQ679" t="s">
        <v>74</v>
      </c>
      <c r="AR679" t="s">
        <v>10477</v>
      </c>
      <c r="AS679" t="s">
        <v>10478</v>
      </c>
      <c r="AT679" t="s">
        <v>9687</v>
      </c>
      <c r="AU679">
        <v>2006</v>
      </c>
      <c r="AV679">
        <v>30</v>
      </c>
      <c r="AW679">
        <v>2</v>
      </c>
      <c r="AX679" t="s">
        <v>74</v>
      </c>
      <c r="AY679" t="s">
        <v>74</v>
      </c>
      <c r="AZ679" t="s">
        <v>74</v>
      </c>
      <c r="BA679" t="s">
        <v>74</v>
      </c>
      <c r="BB679">
        <v>173</v>
      </c>
      <c r="BC679">
        <v>179</v>
      </c>
      <c r="BD679" t="s">
        <v>74</v>
      </c>
      <c r="BE679" t="s">
        <v>10479</v>
      </c>
      <c r="BF679" t="str">
        <f>HYPERLINK("http://dx.doi.org/10.1016/j.marpol.2004.11.004","http://dx.doi.org/10.1016/j.marpol.2004.11.004")</f>
        <v>http://dx.doi.org/10.1016/j.marpol.2004.11.004</v>
      </c>
      <c r="BG679" t="s">
        <v>74</v>
      </c>
      <c r="BH679" t="s">
        <v>74</v>
      </c>
      <c r="BI679">
        <v>7</v>
      </c>
      <c r="BJ679" t="s">
        <v>10480</v>
      </c>
      <c r="BK679" t="s">
        <v>3055</v>
      </c>
      <c r="BL679" t="s">
        <v>10481</v>
      </c>
      <c r="BM679" t="s">
        <v>10482</v>
      </c>
      <c r="BN679" t="s">
        <v>74</v>
      </c>
      <c r="BO679" t="s">
        <v>74</v>
      </c>
      <c r="BP679" t="s">
        <v>74</v>
      </c>
      <c r="BQ679" t="s">
        <v>74</v>
      </c>
      <c r="BR679" t="s">
        <v>100</v>
      </c>
      <c r="BS679" t="s">
        <v>10483</v>
      </c>
      <c r="BT679" t="str">
        <f>HYPERLINK("https%3A%2F%2Fwww.webofscience.com%2Fwos%2Fwoscc%2Ffull-record%2FWOS:000235645400006","View Full Record in Web of Science")</f>
        <v>View Full Record in Web of Science</v>
      </c>
    </row>
    <row r="680" spans="1:72" x14ac:dyDescent="0.15">
      <c r="A680" t="s">
        <v>72</v>
      </c>
      <c r="B680" t="s">
        <v>10484</v>
      </c>
      <c r="C680" t="s">
        <v>74</v>
      </c>
      <c r="D680" t="s">
        <v>74</v>
      </c>
      <c r="E680" t="s">
        <v>74</v>
      </c>
      <c r="F680" t="s">
        <v>10484</v>
      </c>
      <c r="G680" t="s">
        <v>74</v>
      </c>
      <c r="H680" t="s">
        <v>74</v>
      </c>
      <c r="I680" t="s">
        <v>10485</v>
      </c>
      <c r="J680" t="s">
        <v>10469</v>
      </c>
      <c r="K680" t="s">
        <v>74</v>
      </c>
      <c r="L680" t="s">
        <v>74</v>
      </c>
      <c r="M680" t="s">
        <v>78</v>
      </c>
      <c r="N680" t="s">
        <v>79</v>
      </c>
      <c r="O680" t="s">
        <v>74</v>
      </c>
      <c r="P680" t="s">
        <v>74</v>
      </c>
      <c r="Q680" t="s">
        <v>74</v>
      </c>
      <c r="R680" t="s">
        <v>74</v>
      </c>
      <c r="S680" t="s">
        <v>74</v>
      </c>
      <c r="T680" t="s">
        <v>74</v>
      </c>
      <c r="U680" t="s">
        <v>74</v>
      </c>
      <c r="V680" t="s">
        <v>74</v>
      </c>
      <c r="W680" t="s">
        <v>10472</v>
      </c>
      <c r="X680" t="s">
        <v>4630</v>
      </c>
      <c r="Y680" t="s">
        <v>10486</v>
      </c>
      <c r="Z680" t="s">
        <v>10487</v>
      </c>
      <c r="AA680" t="s">
        <v>10488</v>
      </c>
      <c r="AB680" t="s">
        <v>74</v>
      </c>
      <c r="AC680" t="s">
        <v>74</v>
      </c>
      <c r="AD680" t="s">
        <v>74</v>
      </c>
      <c r="AE680" t="s">
        <v>74</v>
      </c>
      <c r="AF680" t="s">
        <v>74</v>
      </c>
      <c r="AG680">
        <v>2</v>
      </c>
      <c r="AH680">
        <v>10</v>
      </c>
      <c r="AI680">
        <v>11</v>
      </c>
      <c r="AJ680">
        <v>0</v>
      </c>
      <c r="AK680">
        <v>1</v>
      </c>
      <c r="AL680" t="s">
        <v>2630</v>
      </c>
      <c r="AM680" t="s">
        <v>388</v>
      </c>
      <c r="AN680" t="s">
        <v>2631</v>
      </c>
      <c r="AO680" t="s">
        <v>10475</v>
      </c>
      <c r="AP680" t="s">
        <v>74</v>
      </c>
      <c r="AQ680" t="s">
        <v>74</v>
      </c>
      <c r="AR680" t="s">
        <v>10477</v>
      </c>
      <c r="AS680" t="s">
        <v>10478</v>
      </c>
      <c r="AT680" t="s">
        <v>9687</v>
      </c>
      <c r="AU680">
        <v>2006</v>
      </c>
      <c r="AV680">
        <v>30</v>
      </c>
      <c r="AW680">
        <v>2</v>
      </c>
      <c r="AX680" t="s">
        <v>74</v>
      </c>
      <c r="AY680" t="s">
        <v>74</v>
      </c>
      <c r="AZ680" t="s">
        <v>74</v>
      </c>
      <c r="BA680" t="s">
        <v>74</v>
      </c>
      <c r="BB680">
        <v>197</v>
      </c>
      <c r="BC680">
        <v>198</v>
      </c>
      <c r="BD680" t="s">
        <v>74</v>
      </c>
      <c r="BE680" t="s">
        <v>10489</v>
      </c>
      <c r="BF680" t="str">
        <f>HYPERLINK("http://dx.doi.org/10.1016/j.marpol.2004.12.001","http://dx.doi.org/10.1016/j.marpol.2004.12.001")</f>
        <v>http://dx.doi.org/10.1016/j.marpol.2004.12.001</v>
      </c>
      <c r="BG680" t="s">
        <v>74</v>
      </c>
      <c r="BH680" t="s">
        <v>74</v>
      </c>
      <c r="BI680">
        <v>2</v>
      </c>
      <c r="BJ680" t="s">
        <v>10480</v>
      </c>
      <c r="BK680" t="s">
        <v>3055</v>
      </c>
      <c r="BL680" t="s">
        <v>10481</v>
      </c>
      <c r="BM680" t="s">
        <v>10482</v>
      </c>
      <c r="BN680" t="s">
        <v>74</v>
      </c>
      <c r="BO680" t="s">
        <v>4389</v>
      </c>
      <c r="BP680" t="s">
        <v>74</v>
      </c>
      <c r="BQ680" t="s">
        <v>74</v>
      </c>
      <c r="BR680" t="s">
        <v>100</v>
      </c>
      <c r="BS680" t="s">
        <v>10490</v>
      </c>
      <c r="BT680" t="str">
        <f>HYPERLINK("https%3A%2F%2Fwww.webofscience.com%2Fwos%2Fwoscc%2Ffull-record%2FWOS:000235645400009","View Full Record in Web of Science")</f>
        <v>View Full Record in Web of Science</v>
      </c>
    </row>
    <row r="681" spans="1:72" x14ac:dyDescent="0.15">
      <c r="A681" t="s">
        <v>72</v>
      </c>
      <c r="B681" t="s">
        <v>10491</v>
      </c>
      <c r="C681" t="s">
        <v>74</v>
      </c>
      <c r="D681" t="s">
        <v>74</v>
      </c>
      <c r="E681" t="s">
        <v>74</v>
      </c>
      <c r="F681" t="s">
        <v>10491</v>
      </c>
      <c r="G681" t="s">
        <v>74</v>
      </c>
      <c r="H681" t="s">
        <v>74</v>
      </c>
      <c r="I681" t="s">
        <v>10492</v>
      </c>
      <c r="J681" t="s">
        <v>1340</v>
      </c>
      <c r="K681" t="s">
        <v>74</v>
      </c>
      <c r="L681" t="s">
        <v>74</v>
      </c>
      <c r="M681" t="s">
        <v>78</v>
      </c>
      <c r="N681" t="s">
        <v>79</v>
      </c>
      <c r="O681" t="s">
        <v>74</v>
      </c>
      <c r="P681" t="s">
        <v>74</v>
      </c>
      <c r="Q681" t="s">
        <v>74</v>
      </c>
      <c r="R681" t="s">
        <v>74</v>
      </c>
      <c r="S681" t="s">
        <v>74</v>
      </c>
      <c r="T681" t="s">
        <v>74</v>
      </c>
      <c r="U681" t="s">
        <v>10493</v>
      </c>
      <c r="V681" t="s">
        <v>10494</v>
      </c>
      <c r="W681" t="s">
        <v>10495</v>
      </c>
      <c r="X681" t="s">
        <v>10496</v>
      </c>
      <c r="Y681" t="s">
        <v>10497</v>
      </c>
      <c r="Z681" t="s">
        <v>10498</v>
      </c>
      <c r="AA681" t="s">
        <v>10499</v>
      </c>
      <c r="AB681" t="s">
        <v>10500</v>
      </c>
      <c r="AC681" t="s">
        <v>74</v>
      </c>
      <c r="AD681" t="s">
        <v>74</v>
      </c>
      <c r="AE681" t="s">
        <v>74</v>
      </c>
      <c r="AF681" t="s">
        <v>74</v>
      </c>
      <c r="AG681">
        <v>22</v>
      </c>
      <c r="AH681">
        <v>42</v>
      </c>
      <c r="AI681">
        <v>45</v>
      </c>
      <c r="AJ681">
        <v>0</v>
      </c>
      <c r="AK681">
        <v>13</v>
      </c>
      <c r="AL681" t="s">
        <v>1376</v>
      </c>
      <c r="AM681" t="s">
        <v>1377</v>
      </c>
      <c r="AN681" t="s">
        <v>1378</v>
      </c>
      <c r="AO681" t="s">
        <v>1347</v>
      </c>
      <c r="AP681" t="s">
        <v>74</v>
      </c>
      <c r="AQ681" t="s">
        <v>74</v>
      </c>
      <c r="AR681" t="s">
        <v>1349</v>
      </c>
      <c r="AS681" t="s">
        <v>1350</v>
      </c>
      <c r="AT681" t="s">
        <v>9687</v>
      </c>
      <c r="AU681">
        <v>2006</v>
      </c>
      <c r="AV681">
        <v>41</v>
      </c>
      <c r="AW681">
        <v>3</v>
      </c>
      <c r="AX681" t="s">
        <v>74</v>
      </c>
      <c r="AY681" t="s">
        <v>74</v>
      </c>
      <c r="AZ681" t="s">
        <v>74</v>
      </c>
      <c r="BA681" t="s">
        <v>74</v>
      </c>
      <c r="BB681">
        <v>343</v>
      </c>
      <c r="BC681">
        <v>353</v>
      </c>
      <c r="BD681" t="s">
        <v>74</v>
      </c>
      <c r="BE681" t="s">
        <v>10501</v>
      </c>
      <c r="BF681" t="str">
        <f>HYPERLINK("http://dx.doi.org/10.1111/j.1945-5100.2006.tb00467.x","http://dx.doi.org/10.1111/j.1945-5100.2006.tb00467.x")</f>
        <v>http://dx.doi.org/10.1111/j.1945-5100.2006.tb00467.x</v>
      </c>
      <c r="BG681" t="s">
        <v>74</v>
      </c>
      <c r="BH681" t="s">
        <v>74</v>
      </c>
      <c r="BI681">
        <v>11</v>
      </c>
      <c r="BJ681" t="s">
        <v>608</v>
      </c>
      <c r="BK681" t="s">
        <v>97</v>
      </c>
      <c r="BL681" t="s">
        <v>608</v>
      </c>
      <c r="BM681" t="s">
        <v>10502</v>
      </c>
      <c r="BN681" t="s">
        <v>74</v>
      </c>
      <c r="BO681" t="s">
        <v>460</v>
      </c>
      <c r="BP681" t="s">
        <v>74</v>
      </c>
      <c r="BQ681" t="s">
        <v>74</v>
      </c>
      <c r="BR681" t="s">
        <v>100</v>
      </c>
      <c r="BS681" t="s">
        <v>10503</v>
      </c>
      <c r="BT681" t="str">
        <f>HYPERLINK("https%3A%2F%2Fwww.webofscience.com%2Fwos%2Fwoscc%2Ffull-record%2FWOS:000236603000002","View Full Record in Web of Science")</f>
        <v>View Full Record in Web of Science</v>
      </c>
    </row>
    <row r="682" spans="1:72" x14ac:dyDescent="0.15">
      <c r="A682" t="s">
        <v>72</v>
      </c>
      <c r="B682" t="s">
        <v>10504</v>
      </c>
      <c r="C682" t="s">
        <v>74</v>
      </c>
      <c r="D682" t="s">
        <v>74</v>
      </c>
      <c r="E682" t="s">
        <v>74</v>
      </c>
      <c r="F682" t="s">
        <v>10504</v>
      </c>
      <c r="G682" t="s">
        <v>74</v>
      </c>
      <c r="H682" t="s">
        <v>74</v>
      </c>
      <c r="I682" t="s">
        <v>10505</v>
      </c>
      <c r="J682" t="s">
        <v>10506</v>
      </c>
      <c r="K682" t="s">
        <v>74</v>
      </c>
      <c r="L682" t="s">
        <v>74</v>
      </c>
      <c r="M682" t="s">
        <v>78</v>
      </c>
      <c r="N682" t="s">
        <v>511</v>
      </c>
      <c r="O682" t="s">
        <v>74</v>
      </c>
      <c r="P682" t="s">
        <v>74</v>
      </c>
      <c r="Q682" t="s">
        <v>74</v>
      </c>
      <c r="R682" t="s">
        <v>74</v>
      </c>
      <c r="S682" t="s">
        <v>74</v>
      </c>
      <c r="T682" t="s">
        <v>74</v>
      </c>
      <c r="U682" t="s">
        <v>10507</v>
      </c>
      <c r="V682" t="s">
        <v>10508</v>
      </c>
      <c r="W682" t="s">
        <v>10509</v>
      </c>
      <c r="X682" t="s">
        <v>10510</v>
      </c>
      <c r="Y682" t="s">
        <v>10511</v>
      </c>
      <c r="Z682" t="s">
        <v>10512</v>
      </c>
      <c r="AA682" t="s">
        <v>74</v>
      </c>
      <c r="AB682" t="s">
        <v>8741</v>
      </c>
      <c r="AC682" t="s">
        <v>74</v>
      </c>
      <c r="AD682" t="s">
        <v>74</v>
      </c>
      <c r="AE682" t="s">
        <v>74</v>
      </c>
      <c r="AF682" t="s">
        <v>74</v>
      </c>
      <c r="AG682">
        <v>281</v>
      </c>
      <c r="AH682">
        <v>370</v>
      </c>
      <c r="AI682">
        <v>422</v>
      </c>
      <c r="AJ682">
        <v>4</v>
      </c>
      <c r="AK682">
        <v>171</v>
      </c>
      <c r="AL682" t="s">
        <v>87</v>
      </c>
      <c r="AM682" t="s">
        <v>88</v>
      </c>
      <c r="AN682" t="s">
        <v>89</v>
      </c>
      <c r="AO682" t="s">
        <v>10513</v>
      </c>
      <c r="AP682" t="s">
        <v>10514</v>
      </c>
      <c r="AQ682" t="s">
        <v>74</v>
      </c>
      <c r="AR682" t="s">
        <v>10515</v>
      </c>
      <c r="AS682" t="s">
        <v>10516</v>
      </c>
      <c r="AT682" t="s">
        <v>9687</v>
      </c>
      <c r="AU682">
        <v>2006</v>
      </c>
      <c r="AV682">
        <v>70</v>
      </c>
      <c r="AW682">
        <v>1</v>
      </c>
      <c r="AX682" t="s">
        <v>74</v>
      </c>
      <c r="AY682" t="s">
        <v>74</v>
      </c>
      <c r="AZ682" t="s">
        <v>74</v>
      </c>
      <c r="BA682" t="s">
        <v>74</v>
      </c>
      <c r="BB682">
        <v>222</v>
      </c>
      <c r="BC682" t="s">
        <v>7504</v>
      </c>
      <c r="BD682" t="s">
        <v>74</v>
      </c>
      <c r="BE682" t="s">
        <v>10517</v>
      </c>
      <c r="BF682" t="str">
        <f>HYPERLINK("http://dx.doi.org/10.1128/MMBR.70.1.222-252.2006","http://dx.doi.org/10.1128/MMBR.70.1.222-252.2006")</f>
        <v>http://dx.doi.org/10.1128/MMBR.70.1.222-252.2006</v>
      </c>
      <c r="BG682" t="s">
        <v>74</v>
      </c>
      <c r="BH682" t="s">
        <v>74</v>
      </c>
      <c r="BI682">
        <v>33</v>
      </c>
      <c r="BJ682" t="s">
        <v>587</v>
      </c>
      <c r="BK682" t="s">
        <v>97</v>
      </c>
      <c r="BL682" t="s">
        <v>587</v>
      </c>
      <c r="BM682" t="s">
        <v>10518</v>
      </c>
      <c r="BN682">
        <v>16524924</v>
      </c>
      <c r="BO682" t="s">
        <v>99</v>
      </c>
      <c r="BP682" t="s">
        <v>74</v>
      </c>
      <c r="BQ682" t="s">
        <v>74</v>
      </c>
      <c r="BR682" t="s">
        <v>100</v>
      </c>
      <c r="BS682" t="s">
        <v>10519</v>
      </c>
      <c r="BT682" t="str">
        <f>HYPERLINK("https%3A%2F%2Fwww.webofscience.com%2Fwos%2Fwoscc%2Ffull-record%2FWOS:000236410100008","View Full Record in Web of Science")</f>
        <v>View Full Record in Web of Science</v>
      </c>
    </row>
    <row r="683" spans="1:72" x14ac:dyDescent="0.15">
      <c r="A683" t="s">
        <v>72</v>
      </c>
      <c r="B683" t="s">
        <v>10520</v>
      </c>
      <c r="C683" t="s">
        <v>74</v>
      </c>
      <c r="D683" t="s">
        <v>74</v>
      </c>
      <c r="E683" t="s">
        <v>74</v>
      </c>
      <c r="F683" t="s">
        <v>10520</v>
      </c>
      <c r="G683" t="s">
        <v>74</v>
      </c>
      <c r="H683" t="s">
        <v>74</v>
      </c>
      <c r="I683" t="s">
        <v>10521</v>
      </c>
      <c r="J683" t="s">
        <v>10522</v>
      </c>
      <c r="K683" t="s">
        <v>74</v>
      </c>
      <c r="L683" t="s">
        <v>74</v>
      </c>
      <c r="M683" t="s">
        <v>78</v>
      </c>
      <c r="N683" t="s">
        <v>79</v>
      </c>
      <c r="O683" t="s">
        <v>74</v>
      </c>
      <c r="P683" t="s">
        <v>74</v>
      </c>
      <c r="Q683" t="s">
        <v>74</v>
      </c>
      <c r="R683" t="s">
        <v>74</v>
      </c>
      <c r="S683" t="s">
        <v>74</v>
      </c>
      <c r="T683" t="s">
        <v>10523</v>
      </c>
      <c r="U683" t="s">
        <v>74</v>
      </c>
      <c r="V683" t="s">
        <v>10524</v>
      </c>
      <c r="W683" t="s">
        <v>10525</v>
      </c>
      <c r="X683" t="s">
        <v>10526</v>
      </c>
      <c r="Y683" t="s">
        <v>10527</v>
      </c>
      <c r="Z683" t="s">
        <v>10528</v>
      </c>
      <c r="AA683" t="s">
        <v>10529</v>
      </c>
      <c r="AB683" t="s">
        <v>10530</v>
      </c>
      <c r="AC683" t="s">
        <v>74</v>
      </c>
      <c r="AD683" t="s">
        <v>74</v>
      </c>
      <c r="AE683" t="s">
        <v>74</v>
      </c>
      <c r="AF683" t="s">
        <v>74</v>
      </c>
      <c r="AG683">
        <v>6</v>
      </c>
      <c r="AH683">
        <v>12</v>
      </c>
      <c r="AI683">
        <v>13</v>
      </c>
      <c r="AJ683">
        <v>0</v>
      </c>
      <c r="AK683">
        <v>2</v>
      </c>
      <c r="AL683" t="s">
        <v>840</v>
      </c>
      <c r="AM683" t="s">
        <v>388</v>
      </c>
      <c r="AN683" t="s">
        <v>841</v>
      </c>
      <c r="AO683" t="s">
        <v>10531</v>
      </c>
      <c r="AP683" t="s">
        <v>74</v>
      </c>
      <c r="AQ683" t="s">
        <v>74</v>
      </c>
      <c r="AR683" t="s">
        <v>10532</v>
      </c>
      <c r="AS683" t="s">
        <v>10533</v>
      </c>
      <c r="AT683" t="s">
        <v>9687</v>
      </c>
      <c r="AU683">
        <v>2006</v>
      </c>
      <c r="AV683">
        <v>6</v>
      </c>
      <c r="AW683">
        <v>1</v>
      </c>
      <c r="AX683" t="s">
        <v>74</v>
      </c>
      <c r="AY683" t="s">
        <v>74</v>
      </c>
      <c r="AZ683" t="s">
        <v>74</v>
      </c>
      <c r="BA683" t="s">
        <v>74</v>
      </c>
      <c r="BB683">
        <v>157</v>
      </c>
      <c r="BC683">
        <v>159</v>
      </c>
      <c r="BD683" t="s">
        <v>74</v>
      </c>
      <c r="BE683" t="s">
        <v>10534</v>
      </c>
      <c r="BF683" t="str">
        <f>HYPERLINK("http://dx.doi.org/10.1111/j.1471-8286.2005.01174.x","http://dx.doi.org/10.1111/j.1471-8286.2005.01174.x")</f>
        <v>http://dx.doi.org/10.1111/j.1471-8286.2005.01174.x</v>
      </c>
      <c r="BG683" t="s">
        <v>74</v>
      </c>
      <c r="BH683" t="s">
        <v>74</v>
      </c>
      <c r="BI683">
        <v>3</v>
      </c>
      <c r="BJ683" t="s">
        <v>5572</v>
      </c>
      <c r="BK683" t="s">
        <v>97</v>
      </c>
      <c r="BL683" t="s">
        <v>5573</v>
      </c>
      <c r="BM683" t="s">
        <v>10535</v>
      </c>
      <c r="BN683" t="s">
        <v>74</v>
      </c>
      <c r="BO683" t="s">
        <v>74</v>
      </c>
      <c r="BP683" t="s">
        <v>74</v>
      </c>
      <c r="BQ683" t="s">
        <v>74</v>
      </c>
      <c r="BR683" t="s">
        <v>100</v>
      </c>
      <c r="BS683" t="s">
        <v>10536</v>
      </c>
      <c r="BT683" t="str">
        <f>HYPERLINK("https%3A%2F%2Fwww.webofscience.com%2Fwos%2Fwoscc%2Ffull-record%2FWOS:000235725600049","View Full Record in Web of Science")</f>
        <v>View Full Record in Web of Science</v>
      </c>
    </row>
    <row r="684" spans="1:72" x14ac:dyDescent="0.15">
      <c r="A684" t="s">
        <v>72</v>
      </c>
      <c r="B684" t="s">
        <v>10537</v>
      </c>
      <c r="C684" t="s">
        <v>74</v>
      </c>
      <c r="D684" t="s">
        <v>74</v>
      </c>
      <c r="E684" t="s">
        <v>74</v>
      </c>
      <c r="F684" t="s">
        <v>10537</v>
      </c>
      <c r="G684" t="s">
        <v>74</v>
      </c>
      <c r="H684" t="s">
        <v>74</v>
      </c>
      <c r="I684" t="s">
        <v>10538</v>
      </c>
      <c r="J684" t="s">
        <v>10522</v>
      </c>
      <c r="K684" t="s">
        <v>74</v>
      </c>
      <c r="L684" t="s">
        <v>74</v>
      </c>
      <c r="M684" t="s">
        <v>78</v>
      </c>
      <c r="N684" t="s">
        <v>79</v>
      </c>
      <c r="O684" t="s">
        <v>74</v>
      </c>
      <c r="P684" t="s">
        <v>74</v>
      </c>
      <c r="Q684" t="s">
        <v>74</v>
      </c>
      <c r="R684" t="s">
        <v>74</v>
      </c>
      <c r="S684" t="s">
        <v>74</v>
      </c>
      <c r="T684" t="s">
        <v>10539</v>
      </c>
      <c r="U684" t="s">
        <v>74</v>
      </c>
      <c r="V684" t="s">
        <v>10540</v>
      </c>
      <c r="W684" t="s">
        <v>10541</v>
      </c>
      <c r="X684" t="s">
        <v>10542</v>
      </c>
      <c r="Y684" t="s">
        <v>10543</v>
      </c>
      <c r="Z684" t="s">
        <v>10544</v>
      </c>
      <c r="AA684" t="s">
        <v>10545</v>
      </c>
      <c r="AB684" t="s">
        <v>10546</v>
      </c>
      <c r="AC684" t="s">
        <v>74</v>
      </c>
      <c r="AD684" t="s">
        <v>74</v>
      </c>
      <c r="AE684" t="s">
        <v>74</v>
      </c>
      <c r="AF684" t="s">
        <v>74</v>
      </c>
      <c r="AG684">
        <v>7</v>
      </c>
      <c r="AH684">
        <v>12</v>
      </c>
      <c r="AI684">
        <v>12</v>
      </c>
      <c r="AJ684">
        <v>1</v>
      </c>
      <c r="AK684">
        <v>8</v>
      </c>
      <c r="AL684" t="s">
        <v>115</v>
      </c>
      <c r="AM684" t="s">
        <v>116</v>
      </c>
      <c r="AN684" t="s">
        <v>117</v>
      </c>
      <c r="AO684" t="s">
        <v>10531</v>
      </c>
      <c r="AP684" t="s">
        <v>74</v>
      </c>
      <c r="AQ684" t="s">
        <v>74</v>
      </c>
      <c r="AR684" t="s">
        <v>10532</v>
      </c>
      <c r="AS684" t="s">
        <v>10533</v>
      </c>
      <c r="AT684" t="s">
        <v>9687</v>
      </c>
      <c r="AU684">
        <v>2006</v>
      </c>
      <c r="AV684">
        <v>6</v>
      </c>
      <c r="AW684">
        <v>1</v>
      </c>
      <c r="AX684" t="s">
        <v>74</v>
      </c>
      <c r="AY684" t="s">
        <v>74</v>
      </c>
      <c r="AZ684" t="s">
        <v>74</v>
      </c>
      <c r="BA684" t="s">
        <v>74</v>
      </c>
      <c r="BB684">
        <v>207</v>
      </c>
      <c r="BC684">
        <v>209</v>
      </c>
      <c r="BD684" t="s">
        <v>74</v>
      </c>
      <c r="BE684" t="s">
        <v>10547</v>
      </c>
      <c r="BF684" t="str">
        <f>HYPERLINK("http://dx.doi.org/10.1111/j.1471-8286.2005.01194.x","http://dx.doi.org/10.1111/j.1471-8286.2005.01194.x")</f>
        <v>http://dx.doi.org/10.1111/j.1471-8286.2005.01194.x</v>
      </c>
      <c r="BG684" t="s">
        <v>74</v>
      </c>
      <c r="BH684" t="s">
        <v>74</v>
      </c>
      <c r="BI684">
        <v>3</v>
      </c>
      <c r="BJ684" t="s">
        <v>5572</v>
      </c>
      <c r="BK684" t="s">
        <v>97</v>
      </c>
      <c r="BL684" t="s">
        <v>5573</v>
      </c>
      <c r="BM684" t="s">
        <v>10535</v>
      </c>
      <c r="BN684" t="s">
        <v>74</v>
      </c>
      <c r="BO684" t="s">
        <v>74</v>
      </c>
      <c r="BP684" t="s">
        <v>74</v>
      </c>
      <c r="BQ684" t="s">
        <v>74</v>
      </c>
      <c r="BR684" t="s">
        <v>100</v>
      </c>
      <c r="BS684" t="s">
        <v>10548</v>
      </c>
      <c r="BT684" t="str">
        <f>HYPERLINK("https%3A%2F%2Fwww.webofscience.com%2Fwos%2Fwoscc%2Ffull-record%2FWOS:000235725600066","View Full Record in Web of Science")</f>
        <v>View Full Record in Web of Science</v>
      </c>
    </row>
    <row r="685" spans="1:72" x14ac:dyDescent="0.15">
      <c r="A685" t="s">
        <v>72</v>
      </c>
      <c r="B685" t="s">
        <v>10549</v>
      </c>
      <c r="C685" t="s">
        <v>74</v>
      </c>
      <c r="D685" t="s">
        <v>74</v>
      </c>
      <c r="E685" t="s">
        <v>74</v>
      </c>
      <c r="F685" t="s">
        <v>10549</v>
      </c>
      <c r="G685" t="s">
        <v>74</v>
      </c>
      <c r="H685" t="s">
        <v>74</v>
      </c>
      <c r="I685" t="s">
        <v>10550</v>
      </c>
      <c r="J685" t="s">
        <v>10522</v>
      </c>
      <c r="K685" t="s">
        <v>74</v>
      </c>
      <c r="L685" t="s">
        <v>74</v>
      </c>
      <c r="M685" t="s">
        <v>78</v>
      </c>
      <c r="N685" t="s">
        <v>79</v>
      </c>
      <c r="O685" t="s">
        <v>74</v>
      </c>
      <c r="P685" t="s">
        <v>74</v>
      </c>
      <c r="Q685" t="s">
        <v>74</v>
      </c>
      <c r="R685" t="s">
        <v>74</v>
      </c>
      <c r="S685" t="s">
        <v>74</v>
      </c>
      <c r="T685" t="s">
        <v>10551</v>
      </c>
      <c r="U685" t="s">
        <v>74</v>
      </c>
      <c r="V685" t="s">
        <v>10552</v>
      </c>
      <c r="W685" t="s">
        <v>10553</v>
      </c>
      <c r="X685" t="s">
        <v>6241</v>
      </c>
      <c r="Y685" t="s">
        <v>10554</v>
      </c>
      <c r="Z685" t="s">
        <v>10555</v>
      </c>
      <c r="AA685" t="s">
        <v>10556</v>
      </c>
      <c r="AB685" t="s">
        <v>10557</v>
      </c>
      <c r="AC685" t="s">
        <v>74</v>
      </c>
      <c r="AD685" t="s">
        <v>74</v>
      </c>
      <c r="AE685" t="s">
        <v>74</v>
      </c>
      <c r="AF685" t="s">
        <v>74</v>
      </c>
      <c r="AG685">
        <v>7</v>
      </c>
      <c r="AH685">
        <v>44</v>
      </c>
      <c r="AI685">
        <v>49</v>
      </c>
      <c r="AJ685">
        <v>0</v>
      </c>
      <c r="AK685">
        <v>20</v>
      </c>
      <c r="AL685" t="s">
        <v>115</v>
      </c>
      <c r="AM685" t="s">
        <v>116</v>
      </c>
      <c r="AN685" t="s">
        <v>117</v>
      </c>
      <c r="AO685" t="s">
        <v>10531</v>
      </c>
      <c r="AP685" t="s">
        <v>74</v>
      </c>
      <c r="AQ685" t="s">
        <v>74</v>
      </c>
      <c r="AR685" t="s">
        <v>10532</v>
      </c>
      <c r="AS685" t="s">
        <v>10533</v>
      </c>
      <c r="AT685" t="s">
        <v>9687</v>
      </c>
      <c r="AU685">
        <v>2006</v>
      </c>
      <c r="AV685">
        <v>6</v>
      </c>
      <c r="AW685">
        <v>1</v>
      </c>
      <c r="AX685" t="s">
        <v>74</v>
      </c>
      <c r="AY685" t="s">
        <v>74</v>
      </c>
      <c r="AZ685" t="s">
        <v>74</v>
      </c>
      <c r="BA685" t="s">
        <v>74</v>
      </c>
      <c r="BB685">
        <v>268</v>
      </c>
      <c r="BC685">
        <v>271</v>
      </c>
      <c r="BD685" t="s">
        <v>74</v>
      </c>
      <c r="BE685" t="s">
        <v>10558</v>
      </c>
      <c r="BF685" t="str">
        <f>HYPERLINK("http://dx.doi.org/10.1111/j.1471-8286.2005.01172.x","http://dx.doi.org/10.1111/j.1471-8286.2005.01172.x")</f>
        <v>http://dx.doi.org/10.1111/j.1471-8286.2005.01172.x</v>
      </c>
      <c r="BG685" t="s">
        <v>74</v>
      </c>
      <c r="BH685" t="s">
        <v>74</v>
      </c>
      <c r="BI685">
        <v>4</v>
      </c>
      <c r="BJ685" t="s">
        <v>5572</v>
      </c>
      <c r="BK685" t="s">
        <v>97</v>
      </c>
      <c r="BL685" t="s">
        <v>5573</v>
      </c>
      <c r="BM685" t="s">
        <v>10535</v>
      </c>
      <c r="BN685" t="s">
        <v>74</v>
      </c>
      <c r="BO685" t="s">
        <v>74</v>
      </c>
      <c r="BP685" t="s">
        <v>74</v>
      </c>
      <c r="BQ685" t="s">
        <v>74</v>
      </c>
      <c r="BR685" t="s">
        <v>100</v>
      </c>
      <c r="BS685" t="s">
        <v>10559</v>
      </c>
      <c r="BT685" t="str">
        <f>HYPERLINK("https%3A%2F%2Fwww.webofscience.com%2Fwos%2Fwoscc%2Ffull-record%2FWOS:000235725600084","View Full Record in Web of Science")</f>
        <v>View Full Record in Web of Science</v>
      </c>
    </row>
    <row r="686" spans="1:72" x14ac:dyDescent="0.15">
      <c r="A686" t="s">
        <v>72</v>
      </c>
      <c r="B686" t="s">
        <v>10560</v>
      </c>
      <c r="C686" t="s">
        <v>74</v>
      </c>
      <c r="D686" t="s">
        <v>74</v>
      </c>
      <c r="E686" t="s">
        <v>74</v>
      </c>
      <c r="F686" t="s">
        <v>10561</v>
      </c>
      <c r="G686" t="s">
        <v>74</v>
      </c>
      <c r="H686" t="s">
        <v>74</v>
      </c>
      <c r="I686" t="s">
        <v>10562</v>
      </c>
      <c r="J686" t="s">
        <v>3406</v>
      </c>
      <c r="K686" t="s">
        <v>74</v>
      </c>
      <c r="L686" t="s">
        <v>74</v>
      </c>
      <c r="M686" t="s">
        <v>78</v>
      </c>
      <c r="N686" t="s">
        <v>79</v>
      </c>
      <c r="O686" t="s">
        <v>74</v>
      </c>
      <c r="P686" t="s">
        <v>74</v>
      </c>
      <c r="Q686" t="s">
        <v>74</v>
      </c>
      <c r="R686" t="s">
        <v>74</v>
      </c>
      <c r="S686" t="s">
        <v>74</v>
      </c>
      <c r="T686" t="s">
        <v>74</v>
      </c>
      <c r="U686" t="s">
        <v>74</v>
      </c>
      <c r="V686" t="s">
        <v>10563</v>
      </c>
      <c r="W686" t="s">
        <v>10564</v>
      </c>
      <c r="X686" t="s">
        <v>10565</v>
      </c>
      <c r="Y686" t="s">
        <v>10566</v>
      </c>
      <c r="Z686" t="s">
        <v>74</v>
      </c>
      <c r="AA686" t="s">
        <v>74</v>
      </c>
      <c r="AB686" t="s">
        <v>74</v>
      </c>
      <c r="AC686" t="s">
        <v>74</v>
      </c>
      <c r="AD686" t="s">
        <v>74</v>
      </c>
      <c r="AE686" t="s">
        <v>74</v>
      </c>
      <c r="AF686" t="s">
        <v>74</v>
      </c>
      <c r="AG686">
        <v>11</v>
      </c>
      <c r="AH686">
        <v>0</v>
      </c>
      <c r="AI686">
        <v>0</v>
      </c>
      <c r="AJ686">
        <v>0</v>
      </c>
      <c r="AK686">
        <v>0</v>
      </c>
      <c r="AL686" t="s">
        <v>601</v>
      </c>
      <c r="AM686" t="s">
        <v>476</v>
      </c>
      <c r="AN686" t="s">
        <v>602</v>
      </c>
      <c r="AO686" t="s">
        <v>3411</v>
      </c>
      <c r="AP686" t="s">
        <v>7218</v>
      </c>
      <c r="AQ686" t="s">
        <v>74</v>
      </c>
      <c r="AR686" t="s">
        <v>3412</v>
      </c>
      <c r="AS686" t="s">
        <v>3413</v>
      </c>
      <c r="AT686" t="s">
        <v>9687</v>
      </c>
      <c r="AU686">
        <v>2006</v>
      </c>
      <c r="AV686">
        <v>46</v>
      </c>
      <c r="AW686">
        <v>2</v>
      </c>
      <c r="AX686" t="s">
        <v>74</v>
      </c>
      <c r="AY686" t="s">
        <v>74</v>
      </c>
      <c r="AZ686" t="s">
        <v>74</v>
      </c>
      <c r="BA686" t="s">
        <v>74</v>
      </c>
      <c r="BB686">
        <v>178</v>
      </c>
      <c r="BC686">
        <v>184</v>
      </c>
      <c r="BD686" t="s">
        <v>74</v>
      </c>
      <c r="BE686" t="s">
        <v>10567</v>
      </c>
      <c r="BF686" t="str">
        <f>HYPERLINK("http://dx.doi.org/10.1134/S0001437006020044","http://dx.doi.org/10.1134/S0001437006020044")</f>
        <v>http://dx.doi.org/10.1134/S0001437006020044</v>
      </c>
      <c r="BG686" t="s">
        <v>74</v>
      </c>
      <c r="BH686" t="s">
        <v>74</v>
      </c>
      <c r="BI686">
        <v>7</v>
      </c>
      <c r="BJ686" t="s">
        <v>1069</v>
      </c>
      <c r="BK686" t="s">
        <v>97</v>
      </c>
      <c r="BL686" t="s">
        <v>1069</v>
      </c>
      <c r="BM686" t="s">
        <v>10568</v>
      </c>
      <c r="BN686" t="s">
        <v>74</v>
      </c>
      <c r="BO686" t="s">
        <v>74</v>
      </c>
      <c r="BP686" t="s">
        <v>74</v>
      </c>
      <c r="BQ686" t="s">
        <v>74</v>
      </c>
      <c r="BR686" t="s">
        <v>100</v>
      </c>
      <c r="BS686" t="s">
        <v>10569</v>
      </c>
      <c r="BT686" t="str">
        <f>HYPERLINK("https%3A%2F%2Fwww.webofscience.com%2Fwos%2Fwoscc%2Ffull-record%2FWOS:000245652000004","View Full Record in Web of Science")</f>
        <v>View Full Record in Web of Science</v>
      </c>
    </row>
    <row r="687" spans="1:72" x14ac:dyDescent="0.15">
      <c r="A687" t="s">
        <v>72</v>
      </c>
      <c r="B687" t="s">
        <v>10570</v>
      </c>
      <c r="C687" t="s">
        <v>74</v>
      </c>
      <c r="D687" t="s">
        <v>74</v>
      </c>
      <c r="E687" t="s">
        <v>74</v>
      </c>
      <c r="F687" t="s">
        <v>10571</v>
      </c>
      <c r="G687" t="s">
        <v>74</v>
      </c>
      <c r="H687" t="s">
        <v>74</v>
      </c>
      <c r="I687" t="s">
        <v>10572</v>
      </c>
      <c r="J687" t="s">
        <v>10573</v>
      </c>
      <c r="K687" t="s">
        <v>74</v>
      </c>
      <c r="L687" t="s">
        <v>74</v>
      </c>
      <c r="M687" t="s">
        <v>78</v>
      </c>
      <c r="N687" t="s">
        <v>79</v>
      </c>
      <c r="O687" t="s">
        <v>74</v>
      </c>
      <c r="P687" t="s">
        <v>74</v>
      </c>
      <c r="Q687" t="s">
        <v>74</v>
      </c>
      <c r="R687" t="s">
        <v>74</v>
      </c>
      <c r="S687" t="s">
        <v>74</v>
      </c>
      <c r="T687" t="s">
        <v>10574</v>
      </c>
      <c r="U687" t="s">
        <v>74</v>
      </c>
      <c r="V687" t="s">
        <v>10575</v>
      </c>
      <c r="W687" t="s">
        <v>10576</v>
      </c>
      <c r="X687" t="s">
        <v>10577</v>
      </c>
      <c r="Y687" t="s">
        <v>10578</v>
      </c>
      <c r="Z687" t="s">
        <v>74</v>
      </c>
      <c r="AA687" t="s">
        <v>74</v>
      </c>
      <c r="AB687" t="s">
        <v>74</v>
      </c>
      <c r="AC687" t="s">
        <v>74</v>
      </c>
      <c r="AD687" t="s">
        <v>74</v>
      </c>
      <c r="AE687" t="s">
        <v>74</v>
      </c>
      <c r="AF687" t="s">
        <v>74</v>
      </c>
      <c r="AG687">
        <v>15</v>
      </c>
      <c r="AH687">
        <v>0</v>
      </c>
      <c r="AI687">
        <v>0</v>
      </c>
      <c r="AJ687">
        <v>0</v>
      </c>
      <c r="AK687">
        <v>1</v>
      </c>
      <c r="AL687" t="s">
        <v>10579</v>
      </c>
      <c r="AM687" t="s">
        <v>5802</v>
      </c>
      <c r="AN687" t="s">
        <v>10580</v>
      </c>
      <c r="AO687" t="s">
        <v>10581</v>
      </c>
      <c r="AP687" t="s">
        <v>10582</v>
      </c>
      <c r="AQ687" t="s">
        <v>74</v>
      </c>
      <c r="AR687" t="s">
        <v>10583</v>
      </c>
      <c r="AS687" t="s">
        <v>10584</v>
      </c>
      <c r="AT687" t="s">
        <v>9687</v>
      </c>
      <c r="AU687">
        <v>2006</v>
      </c>
      <c r="AV687">
        <v>39</v>
      </c>
      <c r="AW687">
        <v>1</v>
      </c>
      <c r="AX687" t="s">
        <v>74</v>
      </c>
      <c r="AY687" t="s">
        <v>74</v>
      </c>
      <c r="AZ687" t="s">
        <v>74</v>
      </c>
      <c r="BA687" t="s">
        <v>74</v>
      </c>
      <c r="BB687">
        <v>57</v>
      </c>
      <c r="BC687">
        <v>66</v>
      </c>
      <c r="BD687" t="s">
        <v>74</v>
      </c>
      <c r="BE687" t="s">
        <v>74</v>
      </c>
      <c r="BF687" t="s">
        <v>74</v>
      </c>
      <c r="BG687" t="s">
        <v>74</v>
      </c>
      <c r="BH687" t="s">
        <v>74</v>
      </c>
      <c r="BI687">
        <v>10</v>
      </c>
      <c r="BJ687" t="s">
        <v>2025</v>
      </c>
      <c r="BK687" t="s">
        <v>3112</v>
      </c>
      <c r="BL687" t="s">
        <v>2025</v>
      </c>
      <c r="BM687" t="s">
        <v>10585</v>
      </c>
      <c r="BN687" t="s">
        <v>74</v>
      </c>
      <c r="BO687" t="s">
        <v>74</v>
      </c>
      <c r="BP687" t="s">
        <v>74</v>
      </c>
      <c r="BQ687" t="s">
        <v>74</v>
      </c>
      <c r="BR687" t="s">
        <v>100</v>
      </c>
      <c r="BS687" t="s">
        <v>10586</v>
      </c>
      <c r="BT687" t="str">
        <f>HYPERLINK("https%3A%2F%2Fwww.webofscience.com%2Fwos%2Fwoscc%2Ffull-record%2FWOS:000420792600010","View Full Record in Web of Science")</f>
        <v>View Full Record in Web of Science</v>
      </c>
    </row>
    <row r="688" spans="1:72" x14ac:dyDescent="0.15">
      <c r="A688" t="s">
        <v>72</v>
      </c>
      <c r="B688" t="s">
        <v>10587</v>
      </c>
      <c r="C688" t="s">
        <v>74</v>
      </c>
      <c r="D688" t="s">
        <v>74</v>
      </c>
      <c r="E688" t="s">
        <v>74</v>
      </c>
      <c r="F688" t="s">
        <v>10587</v>
      </c>
      <c r="G688" t="s">
        <v>74</v>
      </c>
      <c r="H688" t="s">
        <v>74</v>
      </c>
      <c r="I688" t="s">
        <v>10588</v>
      </c>
      <c r="J688" t="s">
        <v>3439</v>
      </c>
      <c r="K688" t="s">
        <v>74</v>
      </c>
      <c r="L688" t="s">
        <v>74</v>
      </c>
      <c r="M688" t="s">
        <v>78</v>
      </c>
      <c r="N688" t="s">
        <v>511</v>
      </c>
      <c r="O688" t="s">
        <v>74</v>
      </c>
      <c r="P688" t="s">
        <v>74</v>
      </c>
      <c r="Q688" t="s">
        <v>74</v>
      </c>
      <c r="R688" t="s">
        <v>74</v>
      </c>
      <c r="S688" t="s">
        <v>74</v>
      </c>
      <c r="T688" t="s">
        <v>74</v>
      </c>
      <c r="U688" t="s">
        <v>10589</v>
      </c>
      <c r="V688" t="s">
        <v>10590</v>
      </c>
      <c r="W688" t="s">
        <v>10591</v>
      </c>
      <c r="X688" t="s">
        <v>10592</v>
      </c>
      <c r="Y688" t="s">
        <v>10593</v>
      </c>
      <c r="Z688" t="s">
        <v>10594</v>
      </c>
      <c r="AA688" t="s">
        <v>10595</v>
      </c>
      <c r="AB688" t="s">
        <v>10596</v>
      </c>
      <c r="AC688" t="s">
        <v>74</v>
      </c>
      <c r="AD688" t="s">
        <v>74</v>
      </c>
      <c r="AE688" t="s">
        <v>74</v>
      </c>
      <c r="AF688" t="s">
        <v>74</v>
      </c>
      <c r="AG688">
        <v>96</v>
      </c>
      <c r="AH688">
        <v>264</v>
      </c>
      <c r="AI688">
        <v>297</v>
      </c>
      <c r="AJ688">
        <v>0</v>
      </c>
      <c r="AK688">
        <v>106</v>
      </c>
      <c r="AL688" t="s">
        <v>115</v>
      </c>
      <c r="AM688" t="s">
        <v>116</v>
      </c>
      <c r="AN688" t="s">
        <v>117</v>
      </c>
      <c r="AO688" t="s">
        <v>3447</v>
      </c>
      <c r="AP688" t="s">
        <v>3448</v>
      </c>
      <c r="AQ688" t="s">
        <v>74</v>
      </c>
      <c r="AR688" t="s">
        <v>3449</v>
      </c>
      <c r="AS688" t="s">
        <v>3450</v>
      </c>
      <c r="AT688" t="s">
        <v>9907</v>
      </c>
      <c r="AU688">
        <v>2006</v>
      </c>
      <c r="AV688">
        <v>82</v>
      </c>
      <c r="AW688">
        <v>2</v>
      </c>
      <c r="AX688" t="s">
        <v>74</v>
      </c>
      <c r="AY688" t="s">
        <v>74</v>
      </c>
      <c r="AZ688" t="s">
        <v>74</v>
      </c>
      <c r="BA688" t="s">
        <v>74</v>
      </c>
      <c r="BB688">
        <v>389</v>
      </c>
      <c r="BC688">
        <v>397</v>
      </c>
      <c r="BD688" t="s">
        <v>74</v>
      </c>
      <c r="BE688" t="s">
        <v>10597</v>
      </c>
      <c r="BF688" t="str">
        <f>HYPERLINK("http://dx.doi.org/10.1562/2005-11-09-IR-733","http://dx.doi.org/10.1562/2005-11-09-IR-733")</f>
        <v>http://dx.doi.org/10.1562/2005-11-09-IR-733</v>
      </c>
      <c r="BG688" t="s">
        <v>74</v>
      </c>
      <c r="BH688" t="s">
        <v>74</v>
      </c>
      <c r="BI688">
        <v>9</v>
      </c>
      <c r="BJ688" t="s">
        <v>3452</v>
      </c>
      <c r="BK688" t="s">
        <v>97</v>
      </c>
      <c r="BL688" t="s">
        <v>3452</v>
      </c>
      <c r="BM688" t="s">
        <v>10598</v>
      </c>
      <c r="BN688">
        <v>16613490</v>
      </c>
      <c r="BO688" t="s">
        <v>74</v>
      </c>
      <c r="BP688" t="s">
        <v>74</v>
      </c>
      <c r="BQ688" t="s">
        <v>74</v>
      </c>
      <c r="BR688" t="s">
        <v>100</v>
      </c>
      <c r="BS688" t="s">
        <v>10599</v>
      </c>
      <c r="BT688" t="str">
        <f>HYPERLINK("https%3A%2F%2Fwww.webofscience.com%2Fwos%2Fwoscc%2Ffull-record%2FWOS:000237048300008","View Full Record in Web of Science")</f>
        <v>View Full Record in Web of Science</v>
      </c>
    </row>
    <row r="689" spans="1:72" x14ac:dyDescent="0.15">
      <c r="A689" t="s">
        <v>72</v>
      </c>
      <c r="B689" t="s">
        <v>10600</v>
      </c>
      <c r="C689" t="s">
        <v>74</v>
      </c>
      <c r="D689" t="s">
        <v>74</v>
      </c>
      <c r="E689" t="s">
        <v>74</v>
      </c>
      <c r="F689" t="s">
        <v>10600</v>
      </c>
      <c r="G689" t="s">
        <v>74</v>
      </c>
      <c r="H689" t="s">
        <v>74</v>
      </c>
      <c r="I689" t="s">
        <v>10601</v>
      </c>
      <c r="J689" t="s">
        <v>7233</v>
      </c>
      <c r="K689" t="s">
        <v>74</v>
      </c>
      <c r="L689" t="s">
        <v>74</v>
      </c>
      <c r="M689" t="s">
        <v>78</v>
      </c>
      <c r="N689" t="s">
        <v>79</v>
      </c>
      <c r="O689" t="s">
        <v>74</v>
      </c>
      <c r="P689" t="s">
        <v>74</v>
      </c>
      <c r="Q689" t="s">
        <v>74</v>
      </c>
      <c r="R689" t="s">
        <v>74</v>
      </c>
      <c r="S689" t="s">
        <v>74</v>
      </c>
      <c r="T689" t="s">
        <v>10602</v>
      </c>
      <c r="U689" t="s">
        <v>10603</v>
      </c>
      <c r="V689" t="s">
        <v>10604</v>
      </c>
      <c r="W689" t="s">
        <v>10605</v>
      </c>
      <c r="X689" t="s">
        <v>10606</v>
      </c>
      <c r="Y689" t="s">
        <v>10607</v>
      </c>
      <c r="Z689" t="s">
        <v>10608</v>
      </c>
      <c r="AA689" t="s">
        <v>74</v>
      </c>
      <c r="AB689" t="s">
        <v>10609</v>
      </c>
      <c r="AC689" t="s">
        <v>74</v>
      </c>
      <c r="AD689" t="s">
        <v>74</v>
      </c>
      <c r="AE689" t="s">
        <v>74</v>
      </c>
      <c r="AF689" t="s">
        <v>74</v>
      </c>
      <c r="AG689">
        <v>26</v>
      </c>
      <c r="AH689">
        <v>36</v>
      </c>
      <c r="AI689">
        <v>41</v>
      </c>
      <c r="AJ689">
        <v>0</v>
      </c>
      <c r="AK689">
        <v>22</v>
      </c>
      <c r="AL689" t="s">
        <v>10610</v>
      </c>
      <c r="AM689" t="s">
        <v>8607</v>
      </c>
      <c r="AN689" t="s">
        <v>10611</v>
      </c>
      <c r="AO689" t="s">
        <v>7243</v>
      </c>
      <c r="AP689" t="s">
        <v>74</v>
      </c>
      <c r="AQ689" t="s">
        <v>74</v>
      </c>
      <c r="AR689" t="s">
        <v>7233</v>
      </c>
      <c r="AS689" t="s">
        <v>7245</v>
      </c>
      <c r="AT689" t="s">
        <v>9687</v>
      </c>
      <c r="AU689">
        <v>2006</v>
      </c>
      <c r="AV689">
        <v>45</v>
      </c>
      <c r="AW689">
        <v>2</v>
      </c>
      <c r="AX689" t="s">
        <v>74</v>
      </c>
      <c r="AY689" t="s">
        <v>74</v>
      </c>
      <c r="AZ689" t="s">
        <v>74</v>
      </c>
      <c r="BA689" t="s">
        <v>74</v>
      </c>
      <c r="BB689">
        <v>190</v>
      </c>
      <c r="BC689">
        <v>198</v>
      </c>
      <c r="BD689" t="s">
        <v>74</v>
      </c>
      <c r="BE689" t="s">
        <v>10612</v>
      </c>
      <c r="BF689" t="str">
        <f>HYPERLINK("http://dx.doi.org/10.2216/03-88.1","http://dx.doi.org/10.2216/03-88.1")</f>
        <v>http://dx.doi.org/10.2216/03-88.1</v>
      </c>
      <c r="BG689" t="s">
        <v>74</v>
      </c>
      <c r="BH689" t="s">
        <v>74</v>
      </c>
      <c r="BI689">
        <v>9</v>
      </c>
      <c r="BJ689" t="s">
        <v>504</v>
      </c>
      <c r="BK689" t="s">
        <v>97</v>
      </c>
      <c r="BL689" t="s">
        <v>504</v>
      </c>
      <c r="BM689" t="s">
        <v>10613</v>
      </c>
      <c r="BN689" t="s">
        <v>74</v>
      </c>
      <c r="BO689" t="s">
        <v>74</v>
      </c>
      <c r="BP689" t="s">
        <v>74</v>
      </c>
      <c r="BQ689" t="s">
        <v>74</v>
      </c>
      <c r="BR689" t="s">
        <v>100</v>
      </c>
      <c r="BS689" t="s">
        <v>10614</v>
      </c>
      <c r="BT689" t="str">
        <f>HYPERLINK("https%3A%2F%2Fwww.webofscience.com%2Fwos%2Fwoscc%2Ffull-record%2FWOS:000235940800009","View Full Record in Web of Science")</f>
        <v>View Full Record in Web of Science</v>
      </c>
    </row>
    <row r="690" spans="1:72" x14ac:dyDescent="0.15">
      <c r="A690" t="s">
        <v>72</v>
      </c>
      <c r="B690" t="s">
        <v>10615</v>
      </c>
      <c r="C690" t="s">
        <v>74</v>
      </c>
      <c r="D690" t="s">
        <v>74</v>
      </c>
      <c r="E690" t="s">
        <v>74</v>
      </c>
      <c r="F690" t="s">
        <v>10615</v>
      </c>
      <c r="G690" t="s">
        <v>74</v>
      </c>
      <c r="H690" t="s">
        <v>74</v>
      </c>
      <c r="I690" t="s">
        <v>10616</v>
      </c>
      <c r="J690" t="s">
        <v>7233</v>
      </c>
      <c r="K690" t="s">
        <v>74</v>
      </c>
      <c r="L690" t="s">
        <v>74</v>
      </c>
      <c r="M690" t="s">
        <v>78</v>
      </c>
      <c r="N690" t="s">
        <v>79</v>
      </c>
      <c r="O690" t="s">
        <v>74</v>
      </c>
      <c r="P690" t="s">
        <v>74</v>
      </c>
      <c r="Q690" t="s">
        <v>74</v>
      </c>
      <c r="R690" t="s">
        <v>74</v>
      </c>
      <c r="S690" t="s">
        <v>74</v>
      </c>
      <c r="T690" t="s">
        <v>10617</v>
      </c>
      <c r="U690" t="s">
        <v>10618</v>
      </c>
      <c r="V690" t="s">
        <v>10619</v>
      </c>
      <c r="W690" t="s">
        <v>10620</v>
      </c>
      <c r="X690" t="s">
        <v>10621</v>
      </c>
      <c r="Y690" t="s">
        <v>10622</v>
      </c>
      <c r="Z690" t="s">
        <v>10623</v>
      </c>
      <c r="AA690" t="s">
        <v>74</v>
      </c>
      <c r="AB690" t="s">
        <v>6344</v>
      </c>
      <c r="AC690" t="s">
        <v>74</v>
      </c>
      <c r="AD690" t="s">
        <v>74</v>
      </c>
      <c r="AE690" t="s">
        <v>74</v>
      </c>
      <c r="AF690" t="s">
        <v>74</v>
      </c>
      <c r="AG690">
        <v>30</v>
      </c>
      <c r="AH690">
        <v>2</v>
      </c>
      <c r="AI690">
        <v>4</v>
      </c>
      <c r="AJ690">
        <v>2</v>
      </c>
      <c r="AK690">
        <v>13</v>
      </c>
      <c r="AL690" t="s">
        <v>136</v>
      </c>
      <c r="AM690" t="s">
        <v>137</v>
      </c>
      <c r="AN690" t="s">
        <v>138</v>
      </c>
      <c r="AO690" t="s">
        <v>7243</v>
      </c>
      <c r="AP690" t="s">
        <v>7244</v>
      </c>
      <c r="AQ690" t="s">
        <v>74</v>
      </c>
      <c r="AR690" t="s">
        <v>7233</v>
      </c>
      <c r="AS690" t="s">
        <v>7245</v>
      </c>
      <c r="AT690" t="s">
        <v>9687</v>
      </c>
      <c r="AU690">
        <v>2006</v>
      </c>
      <c r="AV690">
        <v>45</v>
      </c>
      <c r="AW690">
        <v>2</v>
      </c>
      <c r="AX690" t="s">
        <v>74</v>
      </c>
      <c r="AY690" t="s">
        <v>74</v>
      </c>
      <c r="AZ690" t="s">
        <v>74</v>
      </c>
      <c r="BA690" t="s">
        <v>74</v>
      </c>
      <c r="BB690">
        <v>225</v>
      </c>
      <c r="BC690">
        <v>232</v>
      </c>
      <c r="BD690" t="s">
        <v>74</v>
      </c>
      <c r="BE690" t="s">
        <v>10624</v>
      </c>
      <c r="BF690" t="str">
        <f>HYPERLINK("http://dx.doi.org/10.2216/04-75.1","http://dx.doi.org/10.2216/04-75.1")</f>
        <v>http://dx.doi.org/10.2216/04-75.1</v>
      </c>
      <c r="BG690" t="s">
        <v>74</v>
      </c>
      <c r="BH690" t="s">
        <v>74</v>
      </c>
      <c r="BI690">
        <v>8</v>
      </c>
      <c r="BJ690" t="s">
        <v>504</v>
      </c>
      <c r="BK690" t="s">
        <v>97</v>
      </c>
      <c r="BL690" t="s">
        <v>504</v>
      </c>
      <c r="BM690" t="s">
        <v>10613</v>
      </c>
      <c r="BN690" t="s">
        <v>74</v>
      </c>
      <c r="BO690" t="s">
        <v>74</v>
      </c>
      <c r="BP690" t="s">
        <v>74</v>
      </c>
      <c r="BQ690" t="s">
        <v>74</v>
      </c>
      <c r="BR690" t="s">
        <v>100</v>
      </c>
      <c r="BS690" t="s">
        <v>10625</v>
      </c>
      <c r="BT690" t="str">
        <f>HYPERLINK("https%3A%2F%2Fwww.webofscience.com%2Fwos%2Fwoscc%2Ffull-record%2FWOS:000235940800013","View Full Record in Web of Science")</f>
        <v>View Full Record in Web of Science</v>
      </c>
    </row>
    <row r="691" spans="1:72" x14ac:dyDescent="0.15">
      <c r="A691" t="s">
        <v>72</v>
      </c>
      <c r="B691" t="s">
        <v>10626</v>
      </c>
      <c r="C691" t="s">
        <v>74</v>
      </c>
      <c r="D691" t="s">
        <v>74</v>
      </c>
      <c r="E691" t="s">
        <v>74</v>
      </c>
      <c r="F691" t="s">
        <v>10626</v>
      </c>
      <c r="G691" t="s">
        <v>74</v>
      </c>
      <c r="H691" t="s">
        <v>74</v>
      </c>
      <c r="I691" t="s">
        <v>10627</v>
      </c>
      <c r="J691" t="s">
        <v>3494</v>
      </c>
      <c r="K691" t="s">
        <v>74</v>
      </c>
      <c r="L691" t="s">
        <v>74</v>
      </c>
      <c r="M691" t="s">
        <v>78</v>
      </c>
      <c r="N691" t="s">
        <v>1226</v>
      </c>
      <c r="O691" t="s">
        <v>10628</v>
      </c>
      <c r="P691">
        <v>2004</v>
      </c>
      <c r="Q691" t="s">
        <v>10629</v>
      </c>
      <c r="R691" t="s">
        <v>74</v>
      </c>
      <c r="S691" t="s">
        <v>74</v>
      </c>
      <c r="T691" t="s">
        <v>74</v>
      </c>
      <c r="U691" t="s">
        <v>10630</v>
      </c>
      <c r="V691" t="s">
        <v>10631</v>
      </c>
      <c r="W691" t="s">
        <v>10632</v>
      </c>
      <c r="X691" t="s">
        <v>10633</v>
      </c>
      <c r="Y691" t="s">
        <v>10634</v>
      </c>
      <c r="Z691" t="s">
        <v>3555</v>
      </c>
      <c r="AA691" t="s">
        <v>10635</v>
      </c>
      <c r="AB691" t="s">
        <v>10636</v>
      </c>
      <c r="AC691" t="s">
        <v>74</v>
      </c>
      <c r="AD691" t="s">
        <v>74</v>
      </c>
      <c r="AE691" t="s">
        <v>74</v>
      </c>
      <c r="AF691" t="s">
        <v>74</v>
      </c>
      <c r="AG691">
        <v>109</v>
      </c>
      <c r="AH691">
        <v>298</v>
      </c>
      <c r="AI691">
        <v>340</v>
      </c>
      <c r="AJ691">
        <v>2</v>
      </c>
      <c r="AK691">
        <v>158</v>
      </c>
      <c r="AL691" t="s">
        <v>3502</v>
      </c>
      <c r="AM691" t="s">
        <v>3503</v>
      </c>
      <c r="AN691" t="s">
        <v>3504</v>
      </c>
      <c r="AO691" t="s">
        <v>3505</v>
      </c>
      <c r="AP691" t="s">
        <v>3506</v>
      </c>
      <c r="AQ691" t="s">
        <v>74</v>
      </c>
      <c r="AR691" t="s">
        <v>3507</v>
      </c>
      <c r="AS691" t="s">
        <v>3508</v>
      </c>
      <c r="AT691" t="s">
        <v>9907</v>
      </c>
      <c r="AU691">
        <v>2006</v>
      </c>
      <c r="AV691">
        <v>79</v>
      </c>
      <c r="AW691">
        <v>2</v>
      </c>
      <c r="AX691" t="s">
        <v>74</v>
      </c>
      <c r="AY691" t="s">
        <v>74</v>
      </c>
      <c r="AZ691" t="s">
        <v>74</v>
      </c>
      <c r="BA691" t="s">
        <v>74</v>
      </c>
      <c r="BB691">
        <v>295</v>
      </c>
      <c r="BC691">
        <v>313</v>
      </c>
      <c r="BD691" t="s">
        <v>74</v>
      </c>
      <c r="BE691" t="s">
        <v>10637</v>
      </c>
      <c r="BF691" t="str">
        <f>HYPERLINK("http://dx.doi.org/10.1086/499986","http://dx.doi.org/10.1086/499986")</f>
        <v>http://dx.doi.org/10.1086/499986</v>
      </c>
      <c r="BG691" t="s">
        <v>74</v>
      </c>
      <c r="BH691" t="s">
        <v>74</v>
      </c>
      <c r="BI691">
        <v>19</v>
      </c>
      <c r="BJ691" t="s">
        <v>3510</v>
      </c>
      <c r="BK691" t="s">
        <v>668</v>
      </c>
      <c r="BL691" t="s">
        <v>3510</v>
      </c>
      <c r="BM691" t="s">
        <v>10638</v>
      </c>
      <c r="BN691">
        <v>16555189</v>
      </c>
      <c r="BO691" t="s">
        <v>74</v>
      </c>
      <c r="BP691" t="s">
        <v>74</v>
      </c>
      <c r="BQ691" t="s">
        <v>74</v>
      </c>
      <c r="BR691" t="s">
        <v>100</v>
      </c>
      <c r="BS691" t="s">
        <v>10639</v>
      </c>
      <c r="BT691" t="str">
        <f>HYPERLINK("https%3A%2F%2Fwww.webofscience.com%2Fwos%2Fwoscc%2Ffull-record%2FWOS:000236469800009","View Full Record in Web of Science")</f>
        <v>View Full Record in Web of Science</v>
      </c>
    </row>
    <row r="692" spans="1:72" x14ac:dyDescent="0.15">
      <c r="A692" t="s">
        <v>72</v>
      </c>
      <c r="B692" t="s">
        <v>10640</v>
      </c>
      <c r="C692" t="s">
        <v>74</v>
      </c>
      <c r="D692" t="s">
        <v>74</v>
      </c>
      <c r="E692" t="s">
        <v>74</v>
      </c>
      <c r="F692" t="s">
        <v>10640</v>
      </c>
      <c r="G692" t="s">
        <v>74</v>
      </c>
      <c r="H692" t="s">
        <v>74</v>
      </c>
      <c r="I692" t="s">
        <v>10641</v>
      </c>
      <c r="J692" t="s">
        <v>1511</v>
      </c>
      <c r="K692" t="s">
        <v>74</v>
      </c>
      <c r="L692" t="s">
        <v>74</v>
      </c>
      <c r="M692" t="s">
        <v>78</v>
      </c>
      <c r="N692" t="s">
        <v>79</v>
      </c>
      <c r="O692" t="s">
        <v>74</v>
      </c>
      <c r="P692" t="s">
        <v>74</v>
      </c>
      <c r="Q692" t="s">
        <v>74</v>
      </c>
      <c r="R692" t="s">
        <v>74</v>
      </c>
      <c r="S692" t="s">
        <v>74</v>
      </c>
      <c r="T692" t="s">
        <v>74</v>
      </c>
      <c r="U692" t="s">
        <v>10642</v>
      </c>
      <c r="V692" t="s">
        <v>10643</v>
      </c>
      <c r="W692" t="s">
        <v>10644</v>
      </c>
      <c r="X692" t="s">
        <v>7046</v>
      </c>
      <c r="Y692" t="s">
        <v>10645</v>
      </c>
      <c r="Z692" t="s">
        <v>10646</v>
      </c>
      <c r="AA692" t="s">
        <v>10647</v>
      </c>
      <c r="AB692" t="s">
        <v>10648</v>
      </c>
      <c r="AC692" t="s">
        <v>74</v>
      </c>
      <c r="AD692" t="s">
        <v>74</v>
      </c>
      <c r="AE692" t="s">
        <v>74</v>
      </c>
      <c r="AF692" t="s">
        <v>74</v>
      </c>
      <c r="AG692">
        <v>59</v>
      </c>
      <c r="AH692">
        <v>15</v>
      </c>
      <c r="AI692">
        <v>15</v>
      </c>
      <c r="AJ692">
        <v>0</v>
      </c>
      <c r="AK692">
        <v>16</v>
      </c>
      <c r="AL692" t="s">
        <v>994</v>
      </c>
      <c r="AM692" t="s">
        <v>476</v>
      </c>
      <c r="AN692" t="s">
        <v>1551</v>
      </c>
      <c r="AO692" t="s">
        <v>1520</v>
      </c>
      <c r="AP692" t="s">
        <v>1521</v>
      </c>
      <c r="AQ692" t="s">
        <v>74</v>
      </c>
      <c r="AR692" t="s">
        <v>1522</v>
      </c>
      <c r="AS692" t="s">
        <v>1523</v>
      </c>
      <c r="AT692" t="s">
        <v>9687</v>
      </c>
      <c r="AU692">
        <v>2006</v>
      </c>
      <c r="AV692">
        <v>29</v>
      </c>
      <c r="AW692">
        <v>4</v>
      </c>
      <c r="AX692" t="s">
        <v>74</v>
      </c>
      <c r="AY692" t="s">
        <v>74</v>
      </c>
      <c r="AZ692" t="s">
        <v>74</v>
      </c>
      <c r="BA692" t="s">
        <v>74</v>
      </c>
      <c r="BB692">
        <v>249</v>
      </c>
      <c r="BC692">
        <v>256</v>
      </c>
      <c r="BD692" t="s">
        <v>74</v>
      </c>
      <c r="BE692" t="s">
        <v>10649</v>
      </c>
      <c r="BF692" t="str">
        <f>HYPERLINK("http://dx.doi.org/10.1007/s00300-005-0046-9","http://dx.doi.org/10.1007/s00300-005-0046-9")</f>
        <v>http://dx.doi.org/10.1007/s00300-005-0046-9</v>
      </c>
      <c r="BG692" t="s">
        <v>74</v>
      </c>
      <c r="BH692" t="s">
        <v>74</v>
      </c>
      <c r="BI692">
        <v>8</v>
      </c>
      <c r="BJ692" t="s">
        <v>1525</v>
      </c>
      <c r="BK692" t="s">
        <v>97</v>
      </c>
      <c r="BL692" t="s">
        <v>1526</v>
      </c>
      <c r="BM692" t="s">
        <v>10650</v>
      </c>
      <c r="BN692" t="s">
        <v>74</v>
      </c>
      <c r="BO692" t="s">
        <v>147</v>
      </c>
      <c r="BP692" t="s">
        <v>74</v>
      </c>
      <c r="BQ692" t="s">
        <v>74</v>
      </c>
      <c r="BR692" t="s">
        <v>100</v>
      </c>
      <c r="BS692" t="s">
        <v>10651</v>
      </c>
      <c r="BT692" t="str">
        <f>HYPERLINK("https%3A%2F%2Fwww.webofscience.com%2Fwos%2Fwoscc%2Ffull-record%2FWOS:000235369500001","View Full Record in Web of Science")</f>
        <v>View Full Record in Web of Science</v>
      </c>
    </row>
    <row r="693" spans="1:72" x14ac:dyDescent="0.15">
      <c r="A693" t="s">
        <v>72</v>
      </c>
      <c r="B693" t="s">
        <v>10652</v>
      </c>
      <c r="C693" t="s">
        <v>74</v>
      </c>
      <c r="D693" t="s">
        <v>74</v>
      </c>
      <c r="E693" t="s">
        <v>74</v>
      </c>
      <c r="F693" t="s">
        <v>10652</v>
      </c>
      <c r="G693" t="s">
        <v>74</v>
      </c>
      <c r="H693" t="s">
        <v>74</v>
      </c>
      <c r="I693" t="s">
        <v>10653</v>
      </c>
      <c r="J693" t="s">
        <v>1511</v>
      </c>
      <c r="K693" t="s">
        <v>74</v>
      </c>
      <c r="L693" t="s">
        <v>74</v>
      </c>
      <c r="M693" t="s">
        <v>78</v>
      </c>
      <c r="N693" t="s">
        <v>79</v>
      </c>
      <c r="O693" t="s">
        <v>74</v>
      </c>
      <c r="P693" t="s">
        <v>74</v>
      </c>
      <c r="Q693" t="s">
        <v>74</v>
      </c>
      <c r="R693" t="s">
        <v>74</v>
      </c>
      <c r="S693" t="s">
        <v>74</v>
      </c>
      <c r="T693" t="s">
        <v>74</v>
      </c>
      <c r="U693" t="s">
        <v>10654</v>
      </c>
      <c r="V693" t="s">
        <v>10655</v>
      </c>
      <c r="W693" t="s">
        <v>10656</v>
      </c>
      <c r="X693" t="s">
        <v>10657</v>
      </c>
      <c r="Y693" t="s">
        <v>10658</v>
      </c>
      <c r="Z693" t="s">
        <v>9748</v>
      </c>
      <c r="AA693" t="s">
        <v>74</v>
      </c>
      <c r="AB693" t="s">
        <v>74</v>
      </c>
      <c r="AC693" t="s">
        <v>74</v>
      </c>
      <c r="AD693" t="s">
        <v>74</v>
      </c>
      <c r="AE693" t="s">
        <v>74</v>
      </c>
      <c r="AF693" t="s">
        <v>74</v>
      </c>
      <c r="AG693">
        <v>34</v>
      </c>
      <c r="AH693">
        <v>22</v>
      </c>
      <c r="AI693">
        <v>26</v>
      </c>
      <c r="AJ693">
        <v>0</v>
      </c>
      <c r="AK693">
        <v>8</v>
      </c>
      <c r="AL693" t="s">
        <v>994</v>
      </c>
      <c r="AM693" t="s">
        <v>476</v>
      </c>
      <c r="AN693" t="s">
        <v>995</v>
      </c>
      <c r="AO693" t="s">
        <v>1520</v>
      </c>
      <c r="AP693" t="s">
        <v>74</v>
      </c>
      <c r="AQ693" t="s">
        <v>74</v>
      </c>
      <c r="AR693" t="s">
        <v>1522</v>
      </c>
      <c r="AS693" t="s">
        <v>1523</v>
      </c>
      <c r="AT693" t="s">
        <v>9687</v>
      </c>
      <c r="AU693">
        <v>2006</v>
      </c>
      <c r="AV693">
        <v>29</v>
      </c>
      <c r="AW693">
        <v>4</v>
      </c>
      <c r="AX693" t="s">
        <v>74</v>
      </c>
      <c r="AY693" t="s">
        <v>74</v>
      </c>
      <c r="AZ693" t="s">
        <v>74</v>
      </c>
      <c r="BA693" t="s">
        <v>74</v>
      </c>
      <c r="BB693">
        <v>257</v>
      </c>
      <c r="BC693">
        <v>262</v>
      </c>
      <c r="BD693" t="s">
        <v>74</v>
      </c>
      <c r="BE693" t="s">
        <v>10659</v>
      </c>
      <c r="BF693" t="str">
        <f>HYPERLINK("http://dx.doi.org/10.1007/s00300-005-0048-7","http://dx.doi.org/10.1007/s00300-005-0048-7")</f>
        <v>http://dx.doi.org/10.1007/s00300-005-0048-7</v>
      </c>
      <c r="BG693" t="s">
        <v>74</v>
      </c>
      <c r="BH693" t="s">
        <v>74</v>
      </c>
      <c r="BI693">
        <v>6</v>
      </c>
      <c r="BJ693" t="s">
        <v>1525</v>
      </c>
      <c r="BK693" t="s">
        <v>97</v>
      </c>
      <c r="BL693" t="s">
        <v>1526</v>
      </c>
      <c r="BM693" t="s">
        <v>10650</v>
      </c>
      <c r="BN693" t="s">
        <v>74</v>
      </c>
      <c r="BO693" t="s">
        <v>99</v>
      </c>
      <c r="BP693" t="s">
        <v>74</v>
      </c>
      <c r="BQ693" t="s">
        <v>74</v>
      </c>
      <c r="BR693" t="s">
        <v>100</v>
      </c>
      <c r="BS693" t="s">
        <v>10660</v>
      </c>
      <c r="BT693" t="str">
        <f>HYPERLINK("https%3A%2F%2Fwww.webofscience.com%2Fwos%2Fwoscc%2Ffull-record%2FWOS:000235369500002","View Full Record in Web of Science")</f>
        <v>View Full Record in Web of Science</v>
      </c>
    </row>
    <row r="694" spans="1:72" x14ac:dyDescent="0.15">
      <c r="A694" t="s">
        <v>72</v>
      </c>
      <c r="B694" t="s">
        <v>10661</v>
      </c>
      <c r="C694" t="s">
        <v>74</v>
      </c>
      <c r="D694" t="s">
        <v>74</v>
      </c>
      <c r="E694" t="s">
        <v>74</v>
      </c>
      <c r="F694" t="s">
        <v>10661</v>
      </c>
      <c r="G694" t="s">
        <v>74</v>
      </c>
      <c r="H694" t="s">
        <v>74</v>
      </c>
      <c r="I694" t="s">
        <v>10662</v>
      </c>
      <c r="J694" t="s">
        <v>1511</v>
      </c>
      <c r="K694" t="s">
        <v>74</v>
      </c>
      <c r="L694" t="s">
        <v>74</v>
      </c>
      <c r="M694" t="s">
        <v>78</v>
      </c>
      <c r="N694" t="s">
        <v>79</v>
      </c>
      <c r="O694" t="s">
        <v>74</v>
      </c>
      <c r="P694" t="s">
        <v>74</v>
      </c>
      <c r="Q694" t="s">
        <v>74</v>
      </c>
      <c r="R694" t="s">
        <v>74</v>
      </c>
      <c r="S694" t="s">
        <v>74</v>
      </c>
      <c r="T694" t="s">
        <v>74</v>
      </c>
      <c r="U694" t="s">
        <v>10663</v>
      </c>
      <c r="V694" t="s">
        <v>10664</v>
      </c>
      <c r="W694" t="s">
        <v>10665</v>
      </c>
      <c r="X694" t="s">
        <v>10666</v>
      </c>
      <c r="Y694" t="s">
        <v>10667</v>
      </c>
      <c r="Z694" t="s">
        <v>10668</v>
      </c>
      <c r="AA694" t="s">
        <v>4150</v>
      </c>
      <c r="AB694" t="s">
        <v>4151</v>
      </c>
      <c r="AC694" t="s">
        <v>74</v>
      </c>
      <c r="AD694" t="s">
        <v>74</v>
      </c>
      <c r="AE694" t="s">
        <v>74</v>
      </c>
      <c r="AF694" t="s">
        <v>74</v>
      </c>
      <c r="AG694">
        <v>59</v>
      </c>
      <c r="AH694">
        <v>14</v>
      </c>
      <c r="AI694">
        <v>18</v>
      </c>
      <c r="AJ694">
        <v>0</v>
      </c>
      <c r="AK694">
        <v>4</v>
      </c>
      <c r="AL694" t="s">
        <v>994</v>
      </c>
      <c r="AM694" t="s">
        <v>476</v>
      </c>
      <c r="AN694" t="s">
        <v>1551</v>
      </c>
      <c r="AO694" t="s">
        <v>1520</v>
      </c>
      <c r="AP694" t="s">
        <v>1521</v>
      </c>
      <c r="AQ694" t="s">
        <v>74</v>
      </c>
      <c r="AR694" t="s">
        <v>1522</v>
      </c>
      <c r="AS694" t="s">
        <v>1523</v>
      </c>
      <c r="AT694" t="s">
        <v>9687</v>
      </c>
      <c r="AU694">
        <v>2006</v>
      </c>
      <c r="AV694">
        <v>29</v>
      </c>
      <c r="AW694">
        <v>4</v>
      </c>
      <c r="AX694" t="s">
        <v>74</v>
      </c>
      <c r="AY694" t="s">
        <v>74</v>
      </c>
      <c r="AZ694" t="s">
        <v>74</v>
      </c>
      <c r="BA694" t="s">
        <v>74</v>
      </c>
      <c r="BB694">
        <v>270</v>
      </c>
      <c r="BC694">
        <v>279</v>
      </c>
      <c r="BD694" t="s">
        <v>74</v>
      </c>
      <c r="BE694" t="s">
        <v>10669</v>
      </c>
      <c r="BF694" t="str">
        <f>HYPERLINK("http://dx.doi.org/10.1007/s00300-005-0050-0","http://dx.doi.org/10.1007/s00300-005-0050-0")</f>
        <v>http://dx.doi.org/10.1007/s00300-005-0050-0</v>
      </c>
      <c r="BG694" t="s">
        <v>74</v>
      </c>
      <c r="BH694" t="s">
        <v>74</v>
      </c>
      <c r="BI694">
        <v>10</v>
      </c>
      <c r="BJ694" t="s">
        <v>1525</v>
      </c>
      <c r="BK694" t="s">
        <v>97</v>
      </c>
      <c r="BL694" t="s">
        <v>1526</v>
      </c>
      <c r="BM694" t="s">
        <v>10650</v>
      </c>
      <c r="BN694" t="s">
        <v>74</v>
      </c>
      <c r="BO694" t="s">
        <v>74</v>
      </c>
      <c r="BP694" t="s">
        <v>74</v>
      </c>
      <c r="BQ694" t="s">
        <v>74</v>
      </c>
      <c r="BR694" t="s">
        <v>100</v>
      </c>
      <c r="BS694" t="s">
        <v>10670</v>
      </c>
      <c r="BT694" t="str">
        <f>HYPERLINK("https%3A%2F%2Fwww.webofscience.com%2Fwos%2Fwoscc%2Ffull-record%2FWOS:000235369500004","View Full Record in Web of Science")</f>
        <v>View Full Record in Web of Science</v>
      </c>
    </row>
    <row r="695" spans="1:72" x14ac:dyDescent="0.15">
      <c r="A695" t="s">
        <v>72</v>
      </c>
      <c r="B695" t="s">
        <v>10671</v>
      </c>
      <c r="C695" t="s">
        <v>74</v>
      </c>
      <c r="D695" t="s">
        <v>74</v>
      </c>
      <c r="E695" t="s">
        <v>74</v>
      </c>
      <c r="F695" t="s">
        <v>10671</v>
      </c>
      <c r="G695" t="s">
        <v>74</v>
      </c>
      <c r="H695" t="s">
        <v>74</v>
      </c>
      <c r="I695" t="s">
        <v>10672</v>
      </c>
      <c r="J695" t="s">
        <v>1511</v>
      </c>
      <c r="K695" t="s">
        <v>74</v>
      </c>
      <c r="L695" t="s">
        <v>74</v>
      </c>
      <c r="M695" t="s">
        <v>78</v>
      </c>
      <c r="N695" t="s">
        <v>79</v>
      </c>
      <c r="O695" t="s">
        <v>74</v>
      </c>
      <c r="P695" t="s">
        <v>74</v>
      </c>
      <c r="Q695" t="s">
        <v>74</v>
      </c>
      <c r="R695" t="s">
        <v>74</v>
      </c>
      <c r="S695" t="s">
        <v>74</v>
      </c>
      <c r="T695" t="s">
        <v>74</v>
      </c>
      <c r="U695" t="s">
        <v>10673</v>
      </c>
      <c r="V695" t="s">
        <v>10674</v>
      </c>
      <c r="W695" t="s">
        <v>10675</v>
      </c>
      <c r="X695" t="s">
        <v>10676</v>
      </c>
      <c r="Y695" t="s">
        <v>10677</v>
      </c>
      <c r="Z695" t="s">
        <v>10678</v>
      </c>
      <c r="AA695" t="s">
        <v>10679</v>
      </c>
      <c r="AB695" t="s">
        <v>10680</v>
      </c>
      <c r="AC695" t="s">
        <v>74</v>
      </c>
      <c r="AD695" t="s">
        <v>74</v>
      </c>
      <c r="AE695" t="s">
        <v>74</v>
      </c>
      <c r="AF695" t="s">
        <v>74</v>
      </c>
      <c r="AG695">
        <v>66</v>
      </c>
      <c r="AH695">
        <v>26</v>
      </c>
      <c r="AI695">
        <v>28</v>
      </c>
      <c r="AJ695">
        <v>3</v>
      </c>
      <c r="AK695">
        <v>32</v>
      </c>
      <c r="AL695" t="s">
        <v>994</v>
      </c>
      <c r="AM695" t="s">
        <v>476</v>
      </c>
      <c r="AN695" t="s">
        <v>995</v>
      </c>
      <c r="AO695" t="s">
        <v>1520</v>
      </c>
      <c r="AP695" t="s">
        <v>74</v>
      </c>
      <c r="AQ695" t="s">
        <v>74</v>
      </c>
      <c r="AR695" t="s">
        <v>1522</v>
      </c>
      <c r="AS695" t="s">
        <v>1523</v>
      </c>
      <c r="AT695" t="s">
        <v>9687</v>
      </c>
      <c r="AU695">
        <v>2006</v>
      </c>
      <c r="AV695">
        <v>29</v>
      </c>
      <c r="AW695">
        <v>4</v>
      </c>
      <c r="AX695" t="s">
        <v>74</v>
      </c>
      <c r="AY695" t="s">
        <v>74</v>
      </c>
      <c r="AZ695" t="s">
        <v>74</v>
      </c>
      <c r="BA695" t="s">
        <v>74</v>
      </c>
      <c r="BB695">
        <v>280</v>
      </c>
      <c r="BC695">
        <v>293</v>
      </c>
      <c r="BD695" t="s">
        <v>74</v>
      </c>
      <c r="BE695" t="s">
        <v>10681</v>
      </c>
      <c r="BF695" t="str">
        <f>HYPERLINK("http://dx.doi.org/10.1007/s00300-005-0051-z","http://dx.doi.org/10.1007/s00300-005-0051-z")</f>
        <v>http://dx.doi.org/10.1007/s00300-005-0051-z</v>
      </c>
      <c r="BG695" t="s">
        <v>74</v>
      </c>
      <c r="BH695" t="s">
        <v>74</v>
      </c>
      <c r="BI695">
        <v>14</v>
      </c>
      <c r="BJ695" t="s">
        <v>1525</v>
      </c>
      <c r="BK695" t="s">
        <v>97</v>
      </c>
      <c r="BL695" t="s">
        <v>1526</v>
      </c>
      <c r="BM695" t="s">
        <v>10650</v>
      </c>
      <c r="BN695" t="s">
        <v>74</v>
      </c>
      <c r="BO695" t="s">
        <v>74</v>
      </c>
      <c r="BP695" t="s">
        <v>74</v>
      </c>
      <c r="BQ695" t="s">
        <v>74</v>
      </c>
      <c r="BR695" t="s">
        <v>100</v>
      </c>
      <c r="BS695" t="s">
        <v>10682</v>
      </c>
      <c r="BT695" t="str">
        <f>HYPERLINK("https%3A%2F%2Fwww.webofscience.com%2Fwos%2Fwoscc%2Ffull-record%2FWOS:000235369500005","View Full Record in Web of Science")</f>
        <v>View Full Record in Web of Science</v>
      </c>
    </row>
    <row r="696" spans="1:72" x14ac:dyDescent="0.15">
      <c r="A696" t="s">
        <v>72</v>
      </c>
      <c r="B696" t="s">
        <v>10683</v>
      </c>
      <c r="C696" t="s">
        <v>74</v>
      </c>
      <c r="D696" t="s">
        <v>74</v>
      </c>
      <c r="E696" t="s">
        <v>74</v>
      </c>
      <c r="F696" t="s">
        <v>10683</v>
      </c>
      <c r="G696" t="s">
        <v>74</v>
      </c>
      <c r="H696" t="s">
        <v>74</v>
      </c>
      <c r="I696" t="s">
        <v>10684</v>
      </c>
      <c r="J696" t="s">
        <v>1511</v>
      </c>
      <c r="K696" t="s">
        <v>74</v>
      </c>
      <c r="L696" t="s">
        <v>74</v>
      </c>
      <c r="M696" t="s">
        <v>78</v>
      </c>
      <c r="N696" t="s">
        <v>79</v>
      </c>
      <c r="O696" t="s">
        <v>74</v>
      </c>
      <c r="P696" t="s">
        <v>74</v>
      </c>
      <c r="Q696" t="s">
        <v>74</v>
      </c>
      <c r="R696" t="s">
        <v>74</v>
      </c>
      <c r="S696" t="s">
        <v>74</v>
      </c>
      <c r="T696" t="s">
        <v>74</v>
      </c>
      <c r="U696" t="s">
        <v>10685</v>
      </c>
      <c r="V696" t="s">
        <v>10686</v>
      </c>
      <c r="W696" t="s">
        <v>10687</v>
      </c>
      <c r="X696" t="s">
        <v>10688</v>
      </c>
      <c r="Y696" t="s">
        <v>10689</v>
      </c>
      <c r="Z696" t="s">
        <v>10690</v>
      </c>
      <c r="AA696" t="s">
        <v>10691</v>
      </c>
      <c r="AB696" t="s">
        <v>10692</v>
      </c>
      <c r="AC696" t="s">
        <v>74</v>
      </c>
      <c r="AD696" t="s">
        <v>74</v>
      </c>
      <c r="AE696" t="s">
        <v>74</v>
      </c>
      <c r="AF696" t="s">
        <v>74</v>
      </c>
      <c r="AG696">
        <v>48</v>
      </c>
      <c r="AH696">
        <v>20</v>
      </c>
      <c r="AI696">
        <v>22</v>
      </c>
      <c r="AJ696">
        <v>0</v>
      </c>
      <c r="AK696">
        <v>6</v>
      </c>
      <c r="AL696" t="s">
        <v>994</v>
      </c>
      <c r="AM696" t="s">
        <v>476</v>
      </c>
      <c r="AN696" t="s">
        <v>1551</v>
      </c>
      <c r="AO696" t="s">
        <v>1520</v>
      </c>
      <c r="AP696" t="s">
        <v>1521</v>
      </c>
      <c r="AQ696" t="s">
        <v>74</v>
      </c>
      <c r="AR696" t="s">
        <v>1522</v>
      </c>
      <c r="AS696" t="s">
        <v>1523</v>
      </c>
      <c r="AT696" t="s">
        <v>9687</v>
      </c>
      <c r="AU696">
        <v>2006</v>
      </c>
      <c r="AV696">
        <v>29</v>
      </c>
      <c r="AW696">
        <v>4</v>
      </c>
      <c r="AX696" t="s">
        <v>74</v>
      </c>
      <c r="AY696" t="s">
        <v>74</v>
      </c>
      <c r="AZ696" t="s">
        <v>74</v>
      </c>
      <c r="BA696" t="s">
        <v>74</v>
      </c>
      <c r="BB696">
        <v>294</v>
      </c>
      <c r="BC696">
        <v>302</v>
      </c>
      <c r="BD696" t="s">
        <v>74</v>
      </c>
      <c r="BE696" t="s">
        <v>10693</v>
      </c>
      <c r="BF696" t="str">
        <f>HYPERLINK("http://dx.doi.org/10.1007/s00300-005-0052-y","http://dx.doi.org/10.1007/s00300-005-0052-y")</f>
        <v>http://dx.doi.org/10.1007/s00300-005-0052-y</v>
      </c>
      <c r="BG696" t="s">
        <v>74</v>
      </c>
      <c r="BH696" t="s">
        <v>74</v>
      </c>
      <c r="BI696">
        <v>9</v>
      </c>
      <c r="BJ696" t="s">
        <v>1525</v>
      </c>
      <c r="BK696" t="s">
        <v>97</v>
      </c>
      <c r="BL696" t="s">
        <v>1526</v>
      </c>
      <c r="BM696" t="s">
        <v>10650</v>
      </c>
      <c r="BN696" t="s">
        <v>74</v>
      </c>
      <c r="BO696" t="s">
        <v>74</v>
      </c>
      <c r="BP696" t="s">
        <v>74</v>
      </c>
      <c r="BQ696" t="s">
        <v>74</v>
      </c>
      <c r="BR696" t="s">
        <v>100</v>
      </c>
      <c r="BS696" t="s">
        <v>10694</v>
      </c>
      <c r="BT696" t="str">
        <f>HYPERLINK("https%3A%2F%2Fwww.webofscience.com%2Fwos%2Fwoscc%2Ffull-record%2FWOS:000235369500006","View Full Record in Web of Science")</f>
        <v>View Full Record in Web of Science</v>
      </c>
    </row>
    <row r="697" spans="1:72" x14ac:dyDescent="0.15">
      <c r="A697" t="s">
        <v>72</v>
      </c>
      <c r="B697" t="s">
        <v>10695</v>
      </c>
      <c r="C697" t="s">
        <v>74</v>
      </c>
      <c r="D697" t="s">
        <v>74</v>
      </c>
      <c r="E697" t="s">
        <v>74</v>
      </c>
      <c r="F697" t="s">
        <v>10695</v>
      </c>
      <c r="G697" t="s">
        <v>74</v>
      </c>
      <c r="H697" t="s">
        <v>74</v>
      </c>
      <c r="I697" t="s">
        <v>10696</v>
      </c>
      <c r="J697" t="s">
        <v>1511</v>
      </c>
      <c r="K697" t="s">
        <v>74</v>
      </c>
      <c r="L697" t="s">
        <v>74</v>
      </c>
      <c r="M697" t="s">
        <v>78</v>
      </c>
      <c r="N697" t="s">
        <v>79</v>
      </c>
      <c r="O697" t="s">
        <v>74</v>
      </c>
      <c r="P697" t="s">
        <v>74</v>
      </c>
      <c r="Q697" t="s">
        <v>74</v>
      </c>
      <c r="R697" t="s">
        <v>74</v>
      </c>
      <c r="S697" t="s">
        <v>74</v>
      </c>
      <c r="T697" t="s">
        <v>74</v>
      </c>
      <c r="U697" t="s">
        <v>10697</v>
      </c>
      <c r="V697" t="s">
        <v>10698</v>
      </c>
      <c r="W697" t="s">
        <v>10699</v>
      </c>
      <c r="X697" t="s">
        <v>10700</v>
      </c>
      <c r="Y697" t="s">
        <v>10701</v>
      </c>
      <c r="Z697" t="s">
        <v>10702</v>
      </c>
      <c r="AA697" t="s">
        <v>10703</v>
      </c>
      <c r="AB697" t="s">
        <v>10704</v>
      </c>
      <c r="AC697" t="s">
        <v>74</v>
      </c>
      <c r="AD697" t="s">
        <v>74</v>
      </c>
      <c r="AE697" t="s">
        <v>74</v>
      </c>
      <c r="AF697" t="s">
        <v>74</v>
      </c>
      <c r="AG697">
        <v>32</v>
      </c>
      <c r="AH697">
        <v>24</v>
      </c>
      <c r="AI697">
        <v>29</v>
      </c>
      <c r="AJ697">
        <v>5</v>
      </c>
      <c r="AK697">
        <v>158</v>
      </c>
      <c r="AL697" t="s">
        <v>994</v>
      </c>
      <c r="AM697" t="s">
        <v>476</v>
      </c>
      <c r="AN697" t="s">
        <v>995</v>
      </c>
      <c r="AO697" t="s">
        <v>1520</v>
      </c>
      <c r="AP697" t="s">
        <v>74</v>
      </c>
      <c r="AQ697" t="s">
        <v>74</v>
      </c>
      <c r="AR697" t="s">
        <v>1522</v>
      </c>
      <c r="AS697" t="s">
        <v>1523</v>
      </c>
      <c r="AT697" t="s">
        <v>9687</v>
      </c>
      <c r="AU697">
        <v>2006</v>
      </c>
      <c r="AV697">
        <v>29</v>
      </c>
      <c r="AW697">
        <v>4</v>
      </c>
      <c r="AX697" t="s">
        <v>74</v>
      </c>
      <c r="AY697" t="s">
        <v>74</v>
      </c>
      <c r="AZ697" t="s">
        <v>74</v>
      </c>
      <c r="BA697" t="s">
        <v>74</v>
      </c>
      <c r="BB697">
        <v>303</v>
      </c>
      <c r="BC697">
        <v>307</v>
      </c>
      <c r="BD697" t="s">
        <v>74</v>
      </c>
      <c r="BE697" t="s">
        <v>10705</v>
      </c>
      <c r="BF697" t="str">
        <f>HYPERLINK("http://dx.doi.org/10.1007/s00300-005-0053-x","http://dx.doi.org/10.1007/s00300-005-0053-x")</f>
        <v>http://dx.doi.org/10.1007/s00300-005-0053-x</v>
      </c>
      <c r="BG697" t="s">
        <v>74</v>
      </c>
      <c r="BH697" t="s">
        <v>74</v>
      </c>
      <c r="BI697">
        <v>5</v>
      </c>
      <c r="BJ697" t="s">
        <v>1525</v>
      </c>
      <c r="BK697" t="s">
        <v>97</v>
      </c>
      <c r="BL697" t="s">
        <v>1526</v>
      </c>
      <c r="BM697" t="s">
        <v>10650</v>
      </c>
      <c r="BN697" t="s">
        <v>74</v>
      </c>
      <c r="BO697" t="s">
        <v>74</v>
      </c>
      <c r="BP697" t="s">
        <v>74</v>
      </c>
      <c r="BQ697" t="s">
        <v>74</v>
      </c>
      <c r="BR697" t="s">
        <v>100</v>
      </c>
      <c r="BS697" t="s">
        <v>10706</v>
      </c>
      <c r="BT697" t="str">
        <f>HYPERLINK("https%3A%2F%2Fwww.webofscience.com%2Fwos%2Fwoscc%2Ffull-record%2FWOS:000235369500007","View Full Record in Web of Science")</f>
        <v>View Full Record in Web of Science</v>
      </c>
    </row>
    <row r="698" spans="1:72" x14ac:dyDescent="0.15">
      <c r="A698" t="s">
        <v>72</v>
      </c>
      <c r="B698" t="s">
        <v>10707</v>
      </c>
      <c r="C698" t="s">
        <v>74</v>
      </c>
      <c r="D698" t="s">
        <v>74</v>
      </c>
      <c r="E698" t="s">
        <v>74</v>
      </c>
      <c r="F698" t="s">
        <v>10707</v>
      </c>
      <c r="G698" t="s">
        <v>74</v>
      </c>
      <c r="H698" t="s">
        <v>74</v>
      </c>
      <c r="I698" t="s">
        <v>10708</v>
      </c>
      <c r="J698" t="s">
        <v>1511</v>
      </c>
      <c r="K698" t="s">
        <v>74</v>
      </c>
      <c r="L698" t="s">
        <v>74</v>
      </c>
      <c r="M698" t="s">
        <v>78</v>
      </c>
      <c r="N698" t="s">
        <v>79</v>
      </c>
      <c r="O698" t="s">
        <v>74</v>
      </c>
      <c r="P698" t="s">
        <v>74</v>
      </c>
      <c r="Q698" t="s">
        <v>74</v>
      </c>
      <c r="R698" t="s">
        <v>74</v>
      </c>
      <c r="S698" t="s">
        <v>74</v>
      </c>
      <c r="T698" t="s">
        <v>74</v>
      </c>
      <c r="U698" t="s">
        <v>10709</v>
      </c>
      <c r="V698" t="s">
        <v>10710</v>
      </c>
      <c r="W698" t="s">
        <v>10711</v>
      </c>
      <c r="X698" t="s">
        <v>10712</v>
      </c>
      <c r="Y698" t="s">
        <v>10713</v>
      </c>
      <c r="Z698" t="s">
        <v>10714</v>
      </c>
      <c r="AA698" t="s">
        <v>10715</v>
      </c>
      <c r="AB698" t="s">
        <v>10716</v>
      </c>
      <c r="AC698" t="s">
        <v>74</v>
      </c>
      <c r="AD698" t="s">
        <v>74</v>
      </c>
      <c r="AE698" t="s">
        <v>74</v>
      </c>
      <c r="AF698" t="s">
        <v>74</v>
      </c>
      <c r="AG698">
        <v>38</v>
      </c>
      <c r="AH698">
        <v>85</v>
      </c>
      <c r="AI698">
        <v>93</v>
      </c>
      <c r="AJ698">
        <v>0</v>
      </c>
      <c r="AK698">
        <v>25</v>
      </c>
      <c r="AL698" t="s">
        <v>994</v>
      </c>
      <c r="AM698" t="s">
        <v>476</v>
      </c>
      <c r="AN698" t="s">
        <v>1551</v>
      </c>
      <c r="AO698" t="s">
        <v>1520</v>
      </c>
      <c r="AP698" t="s">
        <v>1521</v>
      </c>
      <c r="AQ698" t="s">
        <v>74</v>
      </c>
      <c r="AR698" t="s">
        <v>1522</v>
      </c>
      <c r="AS698" t="s">
        <v>1523</v>
      </c>
      <c r="AT698" t="s">
        <v>9687</v>
      </c>
      <c r="AU698">
        <v>2006</v>
      </c>
      <c r="AV698">
        <v>29</v>
      </c>
      <c r="AW698">
        <v>4</v>
      </c>
      <c r="AX698" t="s">
        <v>74</v>
      </c>
      <c r="AY698" t="s">
        <v>74</v>
      </c>
      <c r="AZ698" t="s">
        <v>74</v>
      </c>
      <c r="BA698" t="s">
        <v>74</v>
      </c>
      <c r="BB698">
        <v>320</v>
      </c>
      <c r="BC698">
        <v>326</v>
      </c>
      <c r="BD698" t="s">
        <v>74</v>
      </c>
      <c r="BE698" t="s">
        <v>10717</v>
      </c>
      <c r="BF698" t="str">
        <f>HYPERLINK("http://dx.doi.org/10.1007/s00300-005-0056-7","http://dx.doi.org/10.1007/s00300-005-0056-7")</f>
        <v>http://dx.doi.org/10.1007/s00300-005-0056-7</v>
      </c>
      <c r="BG698" t="s">
        <v>74</v>
      </c>
      <c r="BH698" t="s">
        <v>74</v>
      </c>
      <c r="BI698">
        <v>7</v>
      </c>
      <c r="BJ698" t="s">
        <v>1525</v>
      </c>
      <c r="BK698" t="s">
        <v>97</v>
      </c>
      <c r="BL698" t="s">
        <v>1526</v>
      </c>
      <c r="BM698" t="s">
        <v>10650</v>
      </c>
      <c r="BN698" t="s">
        <v>74</v>
      </c>
      <c r="BO698" t="s">
        <v>74</v>
      </c>
      <c r="BP698" t="s">
        <v>74</v>
      </c>
      <c r="BQ698" t="s">
        <v>74</v>
      </c>
      <c r="BR698" t="s">
        <v>100</v>
      </c>
      <c r="BS698" t="s">
        <v>10718</v>
      </c>
      <c r="BT698" t="str">
        <f>HYPERLINK("https%3A%2F%2Fwww.webofscience.com%2Fwos%2Fwoscc%2Ffull-record%2FWOS:000235369500009","View Full Record in Web of Science")</f>
        <v>View Full Record in Web of Science</v>
      </c>
    </row>
    <row r="699" spans="1:72" x14ac:dyDescent="0.15">
      <c r="A699" t="s">
        <v>72</v>
      </c>
      <c r="B699" t="s">
        <v>10719</v>
      </c>
      <c r="C699" t="s">
        <v>74</v>
      </c>
      <c r="D699" t="s">
        <v>74</v>
      </c>
      <c r="E699" t="s">
        <v>74</v>
      </c>
      <c r="F699" t="s">
        <v>10719</v>
      </c>
      <c r="G699" t="s">
        <v>74</v>
      </c>
      <c r="H699" t="s">
        <v>74</v>
      </c>
      <c r="I699" t="s">
        <v>10720</v>
      </c>
      <c r="J699" t="s">
        <v>1511</v>
      </c>
      <c r="K699" t="s">
        <v>74</v>
      </c>
      <c r="L699" t="s">
        <v>74</v>
      </c>
      <c r="M699" t="s">
        <v>78</v>
      </c>
      <c r="N699" t="s">
        <v>79</v>
      </c>
      <c r="O699" t="s">
        <v>74</v>
      </c>
      <c r="P699" t="s">
        <v>74</v>
      </c>
      <c r="Q699" t="s">
        <v>74</v>
      </c>
      <c r="R699" t="s">
        <v>74</v>
      </c>
      <c r="S699" t="s">
        <v>74</v>
      </c>
      <c r="T699" t="s">
        <v>74</v>
      </c>
      <c r="U699" t="s">
        <v>10721</v>
      </c>
      <c r="V699" t="s">
        <v>10722</v>
      </c>
      <c r="W699" t="s">
        <v>2646</v>
      </c>
      <c r="X699" t="s">
        <v>407</v>
      </c>
      <c r="Y699" t="s">
        <v>5820</v>
      </c>
      <c r="Z699" t="s">
        <v>5821</v>
      </c>
      <c r="AA699" t="s">
        <v>10723</v>
      </c>
      <c r="AB699" t="s">
        <v>74</v>
      </c>
      <c r="AC699" t="s">
        <v>74</v>
      </c>
      <c r="AD699" t="s">
        <v>74</v>
      </c>
      <c r="AE699" t="s">
        <v>74</v>
      </c>
      <c r="AF699" t="s">
        <v>74</v>
      </c>
      <c r="AG699">
        <v>40</v>
      </c>
      <c r="AH699">
        <v>15</v>
      </c>
      <c r="AI699">
        <v>17</v>
      </c>
      <c r="AJ699">
        <v>0</v>
      </c>
      <c r="AK699">
        <v>8</v>
      </c>
      <c r="AL699" t="s">
        <v>994</v>
      </c>
      <c r="AM699" t="s">
        <v>476</v>
      </c>
      <c r="AN699" t="s">
        <v>995</v>
      </c>
      <c r="AO699" t="s">
        <v>1520</v>
      </c>
      <c r="AP699" t="s">
        <v>74</v>
      </c>
      <c r="AQ699" t="s">
        <v>74</v>
      </c>
      <c r="AR699" t="s">
        <v>1522</v>
      </c>
      <c r="AS699" t="s">
        <v>1523</v>
      </c>
      <c r="AT699" t="s">
        <v>9687</v>
      </c>
      <c r="AU699">
        <v>2006</v>
      </c>
      <c r="AV699">
        <v>29</v>
      </c>
      <c r="AW699">
        <v>4</v>
      </c>
      <c r="AX699" t="s">
        <v>74</v>
      </c>
      <c r="AY699" t="s">
        <v>74</v>
      </c>
      <c r="AZ699" t="s">
        <v>74</v>
      </c>
      <c r="BA699" t="s">
        <v>74</v>
      </c>
      <c r="BB699">
        <v>327</v>
      </c>
      <c r="BC699">
        <v>336</v>
      </c>
      <c r="BD699" t="s">
        <v>74</v>
      </c>
      <c r="BE699" t="s">
        <v>10724</v>
      </c>
      <c r="BF699" t="str">
        <f>HYPERLINK("http://dx.doi.org/10.1007/s00300-005-0057-6","http://dx.doi.org/10.1007/s00300-005-0057-6")</f>
        <v>http://dx.doi.org/10.1007/s00300-005-0057-6</v>
      </c>
      <c r="BG699" t="s">
        <v>74</v>
      </c>
      <c r="BH699" t="s">
        <v>74</v>
      </c>
      <c r="BI699">
        <v>10</v>
      </c>
      <c r="BJ699" t="s">
        <v>1525</v>
      </c>
      <c r="BK699" t="s">
        <v>97</v>
      </c>
      <c r="BL699" t="s">
        <v>1526</v>
      </c>
      <c r="BM699" t="s">
        <v>10650</v>
      </c>
      <c r="BN699" t="s">
        <v>74</v>
      </c>
      <c r="BO699" t="s">
        <v>74</v>
      </c>
      <c r="BP699" t="s">
        <v>74</v>
      </c>
      <c r="BQ699" t="s">
        <v>74</v>
      </c>
      <c r="BR699" t="s">
        <v>100</v>
      </c>
      <c r="BS699" t="s">
        <v>10725</v>
      </c>
      <c r="BT699" t="str">
        <f>HYPERLINK("https%3A%2F%2Fwww.webofscience.com%2Fwos%2Fwoscc%2Ffull-record%2FWOS:000235369500010","View Full Record in Web of Science")</f>
        <v>View Full Record in Web of Science</v>
      </c>
    </row>
    <row r="700" spans="1:72" x14ac:dyDescent="0.15">
      <c r="A700" t="s">
        <v>72</v>
      </c>
      <c r="B700" t="s">
        <v>10726</v>
      </c>
      <c r="C700" t="s">
        <v>74</v>
      </c>
      <c r="D700" t="s">
        <v>74</v>
      </c>
      <c r="E700" t="s">
        <v>74</v>
      </c>
      <c r="F700" t="s">
        <v>10726</v>
      </c>
      <c r="G700" t="s">
        <v>74</v>
      </c>
      <c r="H700" t="s">
        <v>74</v>
      </c>
      <c r="I700" t="s">
        <v>10727</v>
      </c>
      <c r="J700" t="s">
        <v>1511</v>
      </c>
      <c r="K700" t="s">
        <v>74</v>
      </c>
      <c r="L700" t="s">
        <v>74</v>
      </c>
      <c r="M700" t="s">
        <v>78</v>
      </c>
      <c r="N700" t="s">
        <v>79</v>
      </c>
      <c r="O700" t="s">
        <v>74</v>
      </c>
      <c r="P700" t="s">
        <v>74</v>
      </c>
      <c r="Q700" t="s">
        <v>74</v>
      </c>
      <c r="R700" t="s">
        <v>74</v>
      </c>
      <c r="S700" t="s">
        <v>74</v>
      </c>
      <c r="T700" t="s">
        <v>74</v>
      </c>
      <c r="U700" t="s">
        <v>10728</v>
      </c>
      <c r="V700" t="s">
        <v>10729</v>
      </c>
      <c r="W700" t="s">
        <v>10730</v>
      </c>
      <c r="X700" t="s">
        <v>10731</v>
      </c>
      <c r="Y700" t="s">
        <v>10732</v>
      </c>
      <c r="Z700" t="s">
        <v>10733</v>
      </c>
      <c r="AA700" t="s">
        <v>10734</v>
      </c>
      <c r="AB700" t="s">
        <v>74</v>
      </c>
      <c r="AC700" t="s">
        <v>74</v>
      </c>
      <c r="AD700" t="s">
        <v>74</v>
      </c>
      <c r="AE700" t="s">
        <v>74</v>
      </c>
      <c r="AF700" t="s">
        <v>74</v>
      </c>
      <c r="AG700">
        <v>27</v>
      </c>
      <c r="AH700">
        <v>29</v>
      </c>
      <c r="AI700">
        <v>30</v>
      </c>
      <c r="AJ700">
        <v>0</v>
      </c>
      <c r="AK700">
        <v>6</v>
      </c>
      <c r="AL700" t="s">
        <v>994</v>
      </c>
      <c r="AM700" t="s">
        <v>476</v>
      </c>
      <c r="AN700" t="s">
        <v>1551</v>
      </c>
      <c r="AO700" t="s">
        <v>1520</v>
      </c>
      <c r="AP700" t="s">
        <v>1521</v>
      </c>
      <c r="AQ700" t="s">
        <v>74</v>
      </c>
      <c r="AR700" t="s">
        <v>1522</v>
      </c>
      <c r="AS700" t="s">
        <v>1523</v>
      </c>
      <c r="AT700" t="s">
        <v>9687</v>
      </c>
      <c r="AU700">
        <v>2006</v>
      </c>
      <c r="AV700">
        <v>29</v>
      </c>
      <c r="AW700">
        <v>4</v>
      </c>
      <c r="AX700" t="s">
        <v>74</v>
      </c>
      <c r="AY700" t="s">
        <v>74</v>
      </c>
      <c r="AZ700" t="s">
        <v>74</v>
      </c>
      <c r="BA700" t="s">
        <v>74</v>
      </c>
      <c r="BB700">
        <v>337</v>
      </c>
      <c r="BC700">
        <v>345</v>
      </c>
      <c r="BD700" t="s">
        <v>74</v>
      </c>
      <c r="BE700" t="s">
        <v>10735</v>
      </c>
      <c r="BF700" t="str">
        <f>HYPERLINK("http://dx.doi.org/10.1007/s00300-005-0060-y","http://dx.doi.org/10.1007/s00300-005-0060-y")</f>
        <v>http://dx.doi.org/10.1007/s00300-005-0060-y</v>
      </c>
      <c r="BG700" t="s">
        <v>74</v>
      </c>
      <c r="BH700" t="s">
        <v>74</v>
      </c>
      <c r="BI700">
        <v>9</v>
      </c>
      <c r="BJ700" t="s">
        <v>1525</v>
      </c>
      <c r="BK700" t="s">
        <v>97</v>
      </c>
      <c r="BL700" t="s">
        <v>1526</v>
      </c>
      <c r="BM700" t="s">
        <v>10650</v>
      </c>
      <c r="BN700" t="s">
        <v>74</v>
      </c>
      <c r="BO700" t="s">
        <v>7326</v>
      </c>
      <c r="BP700" t="s">
        <v>74</v>
      </c>
      <c r="BQ700" t="s">
        <v>74</v>
      </c>
      <c r="BR700" t="s">
        <v>100</v>
      </c>
      <c r="BS700" t="s">
        <v>10736</v>
      </c>
      <c r="BT700" t="str">
        <f>HYPERLINK("https%3A%2F%2Fwww.webofscience.com%2Fwos%2Fwoscc%2Ffull-record%2FWOS:000235369500011","View Full Record in Web of Science")</f>
        <v>View Full Record in Web of Science</v>
      </c>
    </row>
    <row r="701" spans="1:72" x14ac:dyDescent="0.15">
      <c r="A701" t="s">
        <v>72</v>
      </c>
      <c r="B701" t="s">
        <v>10737</v>
      </c>
      <c r="C701" t="s">
        <v>74</v>
      </c>
      <c r="D701" t="s">
        <v>74</v>
      </c>
      <c r="E701" t="s">
        <v>74</v>
      </c>
      <c r="F701" t="s">
        <v>10737</v>
      </c>
      <c r="G701" t="s">
        <v>74</v>
      </c>
      <c r="H701" t="s">
        <v>74</v>
      </c>
      <c r="I701" t="s">
        <v>10738</v>
      </c>
      <c r="J701" t="s">
        <v>1511</v>
      </c>
      <c r="K701" t="s">
        <v>74</v>
      </c>
      <c r="L701" t="s">
        <v>74</v>
      </c>
      <c r="M701" t="s">
        <v>78</v>
      </c>
      <c r="N701" t="s">
        <v>79</v>
      </c>
      <c r="O701" t="s">
        <v>74</v>
      </c>
      <c r="P701" t="s">
        <v>74</v>
      </c>
      <c r="Q701" t="s">
        <v>74</v>
      </c>
      <c r="R701" t="s">
        <v>74</v>
      </c>
      <c r="S701" t="s">
        <v>74</v>
      </c>
      <c r="T701" t="s">
        <v>74</v>
      </c>
      <c r="U701" t="s">
        <v>10739</v>
      </c>
      <c r="V701" t="s">
        <v>10740</v>
      </c>
      <c r="W701" t="s">
        <v>10741</v>
      </c>
      <c r="X701" t="s">
        <v>10742</v>
      </c>
      <c r="Y701" t="s">
        <v>10743</v>
      </c>
      <c r="Z701" t="s">
        <v>10744</v>
      </c>
      <c r="AA701" t="s">
        <v>10745</v>
      </c>
      <c r="AB701" t="s">
        <v>10746</v>
      </c>
      <c r="AC701" t="s">
        <v>74</v>
      </c>
      <c r="AD701" t="s">
        <v>74</v>
      </c>
      <c r="AE701" t="s">
        <v>74</v>
      </c>
      <c r="AF701" t="s">
        <v>74</v>
      </c>
      <c r="AG701">
        <v>52</v>
      </c>
      <c r="AH701">
        <v>103</v>
      </c>
      <c r="AI701">
        <v>125</v>
      </c>
      <c r="AJ701">
        <v>1</v>
      </c>
      <c r="AK701">
        <v>27</v>
      </c>
      <c r="AL701" t="s">
        <v>994</v>
      </c>
      <c r="AM701" t="s">
        <v>476</v>
      </c>
      <c r="AN701" t="s">
        <v>1551</v>
      </c>
      <c r="AO701" t="s">
        <v>1520</v>
      </c>
      <c r="AP701" t="s">
        <v>1521</v>
      </c>
      <c r="AQ701" t="s">
        <v>74</v>
      </c>
      <c r="AR701" t="s">
        <v>1522</v>
      </c>
      <c r="AS701" t="s">
        <v>1523</v>
      </c>
      <c r="AT701" t="s">
        <v>9687</v>
      </c>
      <c r="AU701">
        <v>2006</v>
      </c>
      <c r="AV701">
        <v>29</v>
      </c>
      <c r="AW701">
        <v>4</v>
      </c>
      <c r="AX701" t="s">
        <v>74</v>
      </c>
      <c r="AY701" t="s">
        <v>74</v>
      </c>
      <c r="AZ701" t="s">
        <v>74</v>
      </c>
      <c r="BA701" t="s">
        <v>74</v>
      </c>
      <c r="BB701">
        <v>346</v>
      </c>
      <c r="BC701">
        <v>352</v>
      </c>
      <c r="BD701" t="s">
        <v>74</v>
      </c>
      <c r="BE701" t="s">
        <v>10747</v>
      </c>
      <c r="BF701" t="str">
        <f>HYPERLINK("http://dx.doi.org/10.1007/s00300-005-0061-x","http://dx.doi.org/10.1007/s00300-005-0061-x")</f>
        <v>http://dx.doi.org/10.1007/s00300-005-0061-x</v>
      </c>
      <c r="BG701" t="s">
        <v>74</v>
      </c>
      <c r="BH701" t="s">
        <v>74</v>
      </c>
      <c r="BI701">
        <v>7</v>
      </c>
      <c r="BJ701" t="s">
        <v>1525</v>
      </c>
      <c r="BK701" t="s">
        <v>97</v>
      </c>
      <c r="BL701" t="s">
        <v>1526</v>
      </c>
      <c r="BM701" t="s">
        <v>10650</v>
      </c>
      <c r="BN701" t="s">
        <v>74</v>
      </c>
      <c r="BO701" t="s">
        <v>74</v>
      </c>
      <c r="BP701" t="s">
        <v>74</v>
      </c>
      <c r="BQ701" t="s">
        <v>74</v>
      </c>
      <c r="BR701" t="s">
        <v>100</v>
      </c>
      <c r="BS701" t="s">
        <v>10748</v>
      </c>
      <c r="BT701" t="str">
        <f>HYPERLINK("https%3A%2F%2Fwww.webofscience.com%2Fwos%2Fwoscc%2Ffull-record%2FWOS:000235369500012","View Full Record in Web of Science")</f>
        <v>View Full Record in Web of Science</v>
      </c>
    </row>
    <row r="702" spans="1:72" x14ac:dyDescent="0.15">
      <c r="A702" t="s">
        <v>72</v>
      </c>
      <c r="B702" t="s">
        <v>10749</v>
      </c>
      <c r="C702" t="s">
        <v>74</v>
      </c>
      <c r="D702" t="s">
        <v>74</v>
      </c>
      <c r="E702" t="s">
        <v>74</v>
      </c>
      <c r="F702" t="s">
        <v>10749</v>
      </c>
      <c r="G702" t="s">
        <v>74</v>
      </c>
      <c r="H702" t="s">
        <v>74</v>
      </c>
      <c r="I702" t="s">
        <v>10750</v>
      </c>
      <c r="J702" t="s">
        <v>10751</v>
      </c>
      <c r="K702" t="s">
        <v>74</v>
      </c>
      <c r="L702" t="s">
        <v>74</v>
      </c>
      <c r="M702" t="s">
        <v>78</v>
      </c>
      <c r="N702" t="s">
        <v>79</v>
      </c>
      <c r="O702" t="s">
        <v>74</v>
      </c>
      <c r="P702" t="s">
        <v>74</v>
      </c>
      <c r="Q702" t="s">
        <v>74</v>
      </c>
      <c r="R702" t="s">
        <v>74</v>
      </c>
      <c r="S702" t="s">
        <v>74</v>
      </c>
      <c r="T702" t="s">
        <v>10752</v>
      </c>
      <c r="U702" t="s">
        <v>10753</v>
      </c>
      <c r="V702" t="s">
        <v>10754</v>
      </c>
      <c r="W702" t="s">
        <v>10755</v>
      </c>
      <c r="X702" t="s">
        <v>10756</v>
      </c>
      <c r="Y702" t="s">
        <v>10757</v>
      </c>
      <c r="Z702" t="s">
        <v>10758</v>
      </c>
      <c r="AA702" t="s">
        <v>10759</v>
      </c>
      <c r="AB702" t="s">
        <v>10760</v>
      </c>
      <c r="AC702" t="s">
        <v>74</v>
      </c>
      <c r="AD702" t="s">
        <v>74</v>
      </c>
      <c r="AE702" t="s">
        <v>74</v>
      </c>
      <c r="AF702" t="s">
        <v>74</v>
      </c>
      <c r="AG702">
        <v>35</v>
      </c>
      <c r="AH702">
        <v>47</v>
      </c>
      <c r="AI702">
        <v>52</v>
      </c>
      <c r="AJ702">
        <v>1</v>
      </c>
      <c r="AK702">
        <v>16</v>
      </c>
      <c r="AL702" t="s">
        <v>519</v>
      </c>
      <c r="AM702" t="s">
        <v>520</v>
      </c>
      <c r="AN702" t="s">
        <v>521</v>
      </c>
      <c r="AO702" t="s">
        <v>10761</v>
      </c>
      <c r="AP702" t="s">
        <v>10762</v>
      </c>
      <c r="AQ702" t="s">
        <v>74</v>
      </c>
      <c r="AR702" t="s">
        <v>10763</v>
      </c>
      <c r="AS702" t="s">
        <v>10764</v>
      </c>
      <c r="AT702" t="s">
        <v>9687</v>
      </c>
      <c r="AU702">
        <v>2006</v>
      </c>
      <c r="AV702">
        <v>84</v>
      </c>
      <c r="AW702" t="s">
        <v>10765</v>
      </c>
      <c r="AX702" t="s">
        <v>74</v>
      </c>
      <c r="AY702" t="s">
        <v>74</v>
      </c>
      <c r="AZ702" t="s">
        <v>74</v>
      </c>
      <c r="BA702" t="s">
        <v>74</v>
      </c>
      <c r="BB702">
        <v>109</v>
      </c>
      <c r="BC702">
        <v>116</v>
      </c>
      <c r="BD702" t="s">
        <v>74</v>
      </c>
      <c r="BE702" t="s">
        <v>10766</v>
      </c>
      <c r="BF702" t="str">
        <f>HYPERLINK("http://dx.doi.org/10.1205/psep.04296","http://dx.doi.org/10.1205/psep.04296")</f>
        <v>http://dx.doi.org/10.1205/psep.04296</v>
      </c>
      <c r="BG702" t="s">
        <v>74</v>
      </c>
      <c r="BH702" t="s">
        <v>74</v>
      </c>
      <c r="BI702">
        <v>8</v>
      </c>
      <c r="BJ702" t="s">
        <v>10767</v>
      </c>
      <c r="BK702" t="s">
        <v>97</v>
      </c>
      <c r="BL702" t="s">
        <v>4481</v>
      </c>
      <c r="BM702" t="s">
        <v>10768</v>
      </c>
      <c r="BN702" t="s">
        <v>74</v>
      </c>
      <c r="BO702" t="s">
        <v>74</v>
      </c>
      <c r="BP702" t="s">
        <v>74</v>
      </c>
      <c r="BQ702" t="s">
        <v>74</v>
      </c>
      <c r="BR702" t="s">
        <v>100</v>
      </c>
      <c r="BS702" t="s">
        <v>10769</v>
      </c>
      <c r="BT702" t="str">
        <f>HYPERLINK("https%3A%2F%2Fwww.webofscience.com%2Fwos%2Fwoscc%2Ffull-record%2FWOS:000237361400004","View Full Record in Web of Science")</f>
        <v>View Full Record in Web of Science</v>
      </c>
    </row>
    <row r="703" spans="1:72" x14ac:dyDescent="0.15">
      <c r="A703" t="s">
        <v>72</v>
      </c>
      <c r="B703" t="s">
        <v>10770</v>
      </c>
      <c r="C703" t="s">
        <v>74</v>
      </c>
      <c r="D703" t="s">
        <v>74</v>
      </c>
      <c r="E703" t="s">
        <v>74</v>
      </c>
      <c r="F703" t="s">
        <v>10770</v>
      </c>
      <c r="G703" t="s">
        <v>74</v>
      </c>
      <c r="H703" t="s">
        <v>74</v>
      </c>
      <c r="I703" t="s">
        <v>10771</v>
      </c>
      <c r="J703" t="s">
        <v>10772</v>
      </c>
      <c r="K703" t="s">
        <v>74</v>
      </c>
      <c r="L703" t="s">
        <v>74</v>
      </c>
      <c r="M703" t="s">
        <v>78</v>
      </c>
      <c r="N703" t="s">
        <v>511</v>
      </c>
      <c r="O703" t="s">
        <v>74</v>
      </c>
      <c r="P703" t="s">
        <v>74</v>
      </c>
      <c r="Q703" t="s">
        <v>74</v>
      </c>
      <c r="R703" t="s">
        <v>74</v>
      </c>
      <c r="S703" t="s">
        <v>74</v>
      </c>
      <c r="T703" t="s">
        <v>10773</v>
      </c>
      <c r="U703" t="s">
        <v>10774</v>
      </c>
      <c r="V703" t="s">
        <v>10775</v>
      </c>
      <c r="W703" t="s">
        <v>10776</v>
      </c>
      <c r="X703" t="s">
        <v>10777</v>
      </c>
      <c r="Y703" t="s">
        <v>10778</v>
      </c>
      <c r="Z703" t="s">
        <v>10779</v>
      </c>
      <c r="AA703" t="s">
        <v>10780</v>
      </c>
      <c r="AB703" t="s">
        <v>10781</v>
      </c>
      <c r="AC703" t="s">
        <v>74</v>
      </c>
      <c r="AD703" t="s">
        <v>74</v>
      </c>
      <c r="AE703" t="s">
        <v>74</v>
      </c>
      <c r="AF703" t="s">
        <v>74</v>
      </c>
      <c r="AG703">
        <v>163</v>
      </c>
      <c r="AH703">
        <v>679</v>
      </c>
      <c r="AI703">
        <v>830</v>
      </c>
      <c r="AJ703">
        <v>11</v>
      </c>
      <c r="AK703">
        <v>432</v>
      </c>
      <c r="AL703" t="s">
        <v>387</v>
      </c>
      <c r="AM703" t="s">
        <v>388</v>
      </c>
      <c r="AN703" t="s">
        <v>389</v>
      </c>
      <c r="AO703" t="s">
        <v>10782</v>
      </c>
      <c r="AP703" t="s">
        <v>10783</v>
      </c>
      <c r="AQ703" t="s">
        <v>74</v>
      </c>
      <c r="AR703" t="s">
        <v>10784</v>
      </c>
      <c r="AS703" t="s">
        <v>10785</v>
      </c>
      <c r="AT703" t="s">
        <v>9687</v>
      </c>
      <c r="AU703">
        <v>2006</v>
      </c>
      <c r="AV703">
        <v>45</v>
      </c>
      <c r="AW703">
        <v>2</v>
      </c>
      <c r="AX703" t="s">
        <v>74</v>
      </c>
      <c r="AY703" t="s">
        <v>74</v>
      </c>
      <c r="AZ703" t="s">
        <v>74</v>
      </c>
      <c r="BA703" t="s">
        <v>74</v>
      </c>
      <c r="BB703">
        <v>160</v>
      </c>
      <c r="BC703">
        <v>186</v>
      </c>
      <c r="BD703" t="s">
        <v>74</v>
      </c>
      <c r="BE703" t="s">
        <v>10786</v>
      </c>
      <c r="BF703" t="str">
        <f>HYPERLINK("http://dx.doi.org/10.1016/j.plipres.2006.01.001","http://dx.doi.org/10.1016/j.plipres.2006.01.001")</f>
        <v>http://dx.doi.org/10.1016/j.plipres.2006.01.001</v>
      </c>
      <c r="BG703" t="s">
        <v>74</v>
      </c>
      <c r="BH703" t="s">
        <v>74</v>
      </c>
      <c r="BI703">
        <v>27</v>
      </c>
      <c r="BJ703" t="s">
        <v>10787</v>
      </c>
      <c r="BK703" t="s">
        <v>97</v>
      </c>
      <c r="BL703" t="s">
        <v>10787</v>
      </c>
      <c r="BM703" t="s">
        <v>10788</v>
      </c>
      <c r="BN703">
        <v>16492482</v>
      </c>
      <c r="BO703" t="s">
        <v>74</v>
      </c>
      <c r="BP703" t="s">
        <v>74</v>
      </c>
      <c r="BQ703" t="s">
        <v>74</v>
      </c>
      <c r="BR703" t="s">
        <v>100</v>
      </c>
      <c r="BS703" t="s">
        <v>10789</v>
      </c>
      <c r="BT703" t="str">
        <f>HYPERLINK("https%3A%2F%2Fwww.webofscience.com%2Fwos%2Fwoscc%2Ffull-record%2FWOS:000236182000004","View Full Record in Web of Science")</f>
        <v>View Full Record in Web of Science</v>
      </c>
    </row>
    <row r="704" spans="1:72" x14ac:dyDescent="0.15">
      <c r="A704" t="s">
        <v>72</v>
      </c>
      <c r="B704" t="s">
        <v>10790</v>
      </c>
      <c r="C704" t="s">
        <v>74</v>
      </c>
      <c r="D704" t="s">
        <v>74</v>
      </c>
      <c r="E704" t="s">
        <v>74</v>
      </c>
      <c r="F704" t="s">
        <v>10790</v>
      </c>
      <c r="G704" t="s">
        <v>74</v>
      </c>
      <c r="H704" t="s">
        <v>74</v>
      </c>
      <c r="I704" t="s">
        <v>10791</v>
      </c>
      <c r="J704" t="s">
        <v>1622</v>
      </c>
      <c r="K704" t="s">
        <v>74</v>
      </c>
      <c r="L704" t="s">
        <v>74</v>
      </c>
      <c r="M704" t="s">
        <v>78</v>
      </c>
      <c r="N704" t="s">
        <v>79</v>
      </c>
      <c r="O704" t="s">
        <v>74</v>
      </c>
      <c r="P704" t="s">
        <v>74</v>
      </c>
      <c r="Q704" t="s">
        <v>74</v>
      </c>
      <c r="R704" t="s">
        <v>74</v>
      </c>
      <c r="S704" t="s">
        <v>74</v>
      </c>
      <c r="T704" t="s">
        <v>74</v>
      </c>
      <c r="U704" t="s">
        <v>10792</v>
      </c>
      <c r="V704" t="s">
        <v>10793</v>
      </c>
      <c r="W704" t="s">
        <v>10794</v>
      </c>
      <c r="X704" t="s">
        <v>7202</v>
      </c>
      <c r="Y704" t="s">
        <v>10795</v>
      </c>
      <c r="Z704" t="s">
        <v>10796</v>
      </c>
      <c r="AA704" t="s">
        <v>74</v>
      </c>
      <c r="AB704" t="s">
        <v>74</v>
      </c>
      <c r="AC704" t="s">
        <v>74</v>
      </c>
      <c r="AD704" t="s">
        <v>74</v>
      </c>
      <c r="AE704" t="s">
        <v>74</v>
      </c>
      <c r="AF704" t="s">
        <v>74</v>
      </c>
      <c r="AG704">
        <v>54</v>
      </c>
      <c r="AH704">
        <v>42</v>
      </c>
      <c r="AI704">
        <v>43</v>
      </c>
      <c r="AJ704">
        <v>0</v>
      </c>
      <c r="AK704">
        <v>1</v>
      </c>
      <c r="AL704" t="s">
        <v>1629</v>
      </c>
      <c r="AM704" t="s">
        <v>1630</v>
      </c>
      <c r="AN704" t="s">
        <v>1631</v>
      </c>
      <c r="AO704" t="s">
        <v>1632</v>
      </c>
      <c r="AP704" t="s">
        <v>1633</v>
      </c>
      <c r="AQ704" t="s">
        <v>74</v>
      </c>
      <c r="AR704" t="s">
        <v>1634</v>
      </c>
      <c r="AS704" t="s">
        <v>1635</v>
      </c>
      <c r="AT704" t="s">
        <v>9687</v>
      </c>
      <c r="AU704">
        <v>2006</v>
      </c>
      <c r="AV704">
        <v>118</v>
      </c>
      <c r="AW704">
        <v>841</v>
      </c>
      <c r="AX704" t="s">
        <v>74</v>
      </c>
      <c r="AY704" t="s">
        <v>74</v>
      </c>
      <c r="AZ704" t="s">
        <v>74</v>
      </c>
      <c r="BA704" t="s">
        <v>74</v>
      </c>
      <c r="BB704">
        <v>489</v>
      </c>
      <c r="BC704">
        <v>502</v>
      </c>
      <c r="BD704" t="s">
        <v>74</v>
      </c>
      <c r="BE704" t="s">
        <v>10797</v>
      </c>
      <c r="BF704" t="str">
        <f>HYPERLINK("http://dx.doi.org/10.1086/499631","http://dx.doi.org/10.1086/499631")</f>
        <v>http://dx.doi.org/10.1086/499631</v>
      </c>
      <c r="BG704" t="s">
        <v>74</v>
      </c>
      <c r="BH704" t="s">
        <v>74</v>
      </c>
      <c r="BI704">
        <v>14</v>
      </c>
      <c r="BJ704" t="s">
        <v>1637</v>
      </c>
      <c r="BK704" t="s">
        <v>97</v>
      </c>
      <c r="BL704" t="s">
        <v>1637</v>
      </c>
      <c r="BM704" t="s">
        <v>10798</v>
      </c>
      <c r="BN704" t="s">
        <v>74</v>
      </c>
      <c r="BO704" t="s">
        <v>460</v>
      </c>
      <c r="BP704" t="s">
        <v>74</v>
      </c>
      <c r="BQ704" t="s">
        <v>74</v>
      </c>
      <c r="BR704" t="s">
        <v>100</v>
      </c>
      <c r="BS704" t="s">
        <v>10799</v>
      </c>
      <c r="BT704" t="str">
        <f>HYPERLINK("https%3A%2F%2Fwww.webofscience.com%2Fwos%2Fwoscc%2Ffull-record%2FWOS:000236582500015","View Full Record in Web of Science")</f>
        <v>View Full Record in Web of Science</v>
      </c>
    </row>
    <row r="705" spans="1:72" x14ac:dyDescent="0.15">
      <c r="A705" t="s">
        <v>72</v>
      </c>
      <c r="B705" t="s">
        <v>10800</v>
      </c>
      <c r="C705" t="s">
        <v>74</v>
      </c>
      <c r="D705" t="s">
        <v>74</v>
      </c>
      <c r="E705" t="s">
        <v>74</v>
      </c>
      <c r="F705" t="s">
        <v>10800</v>
      </c>
      <c r="G705" t="s">
        <v>74</v>
      </c>
      <c r="H705" t="s">
        <v>74</v>
      </c>
      <c r="I705" t="s">
        <v>10801</v>
      </c>
      <c r="J705" t="s">
        <v>3660</v>
      </c>
      <c r="K705" t="s">
        <v>74</v>
      </c>
      <c r="L705" t="s">
        <v>74</v>
      </c>
      <c r="M705" t="s">
        <v>78</v>
      </c>
      <c r="N705" t="s">
        <v>79</v>
      </c>
      <c r="O705" t="s">
        <v>74</v>
      </c>
      <c r="P705" t="s">
        <v>74</v>
      </c>
      <c r="Q705" t="s">
        <v>74</v>
      </c>
      <c r="R705" t="s">
        <v>74</v>
      </c>
      <c r="S705" t="s">
        <v>74</v>
      </c>
      <c r="T705" t="s">
        <v>10802</v>
      </c>
      <c r="U705" t="s">
        <v>10803</v>
      </c>
      <c r="V705" t="s">
        <v>10804</v>
      </c>
      <c r="W705" t="s">
        <v>10805</v>
      </c>
      <c r="X705" t="s">
        <v>10806</v>
      </c>
      <c r="Y705" t="s">
        <v>10807</v>
      </c>
      <c r="Z705" t="s">
        <v>10808</v>
      </c>
      <c r="AA705" t="s">
        <v>10809</v>
      </c>
      <c r="AB705" t="s">
        <v>10810</v>
      </c>
      <c r="AC705" t="s">
        <v>74</v>
      </c>
      <c r="AD705" t="s">
        <v>74</v>
      </c>
      <c r="AE705" t="s">
        <v>74</v>
      </c>
      <c r="AF705" t="s">
        <v>74</v>
      </c>
      <c r="AG705">
        <v>30</v>
      </c>
      <c r="AH705">
        <v>52</v>
      </c>
      <c r="AI705">
        <v>55</v>
      </c>
      <c r="AJ705">
        <v>1</v>
      </c>
      <c r="AK705">
        <v>18</v>
      </c>
      <c r="AL705" t="s">
        <v>1139</v>
      </c>
      <c r="AM705" t="s">
        <v>476</v>
      </c>
      <c r="AN705" t="s">
        <v>1140</v>
      </c>
      <c r="AO705" t="s">
        <v>3673</v>
      </c>
      <c r="AP705" t="s">
        <v>7340</v>
      </c>
      <c r="AQ705" t="s">
        <v>74</v>
      </c>
      <c r="AR705" t="s">
        <v>3674</v>
      </c>
      <c r="AS705" t="s">
        <v>3675</v>
      </c>
      <c r="AT705" t="s">
        <v>9687</v>
      </c>
      <c r="AU705">
        <v>2006</v>
      </c>
      <c r="AV705">
        <v>65</v>
      </c>
      <c r="AW705">
        <v>2</v>
      </c>
      <c r="AX705" t="s">
        <v>74</v>
      </c>
      <c r="AY705" t="s">
        <v>74</v>
      </c>
      <c r="AZ705" t="s">
        <v>74</v>
      </c>
      <c r="BA705" t="s">
        <v>74</v>
      </c>
      <c r="BB705">
        <v>340</v>
      </c>
      <c r="BC705">
        <v>345</v>
      </c>
      <c r="BD705" t="s">
        <v>74</v>
      </c>
      <c r="BE705" t="s">
        <v>10811</v>
      </c>
      <c r="BF705" t="str">
        <f>HYPERLINK("http://dx.doi.org/10.1016/j.yqres.2005.08.028","http://dx.doi.org/10.1016/j.yqres.2005.08.028")</f>
        <v>http://dx.doi.org/10.1016/j.yqres.2005.08.028</v>
      </c>
      <c r="BG705" t="s">
        <v>74</v>
      </c>
      <c r="BH705" t="s">
        <v>74</v>
      </c>
      <c r="BI705">
        <v>6</v>
      </c>
      <c r="BJ705" t="s">
        <v>2893</v>
      </c>
      <c r="BK705" t="s">
        <v>97</v>
      </c>
      <c r="BL705" t="s">
        <v>2894</v>
      </c>
      <c r="BM705" t="s">
        <v>10812</v>
      </c>
      <c r="BN705" t="s">
        <v>74</v>
      </c>
      <c r="BO705" t="s">
        <v>74</v>
      </c>
      <c r="BP705" t="s">
        <v>74</v>
      </c>
      <c r="BQ705" t="s">
        <v>74</v>
      </c>
      <c r="BR705" t="s">
        <v>100</v>
      </c>
      <c r="BS705" t="s">
        <v>10813</v>
      </c>
      <c r="BT705" t="str">
        <f>HYPERLINK("https%3A%2F%2Fwww.webofscience.com%2Fwos%2Fwoscc%2Ffull-record%2FWOS:000236090600016","View Full Record in Web of Science")</f>
        <v>View Full Record in Web of Science</v>
      </c>
    </row>
    <row r="706" spans="1:72" x14ac:dyDescent="0.15">
      <c r="A706" t="s">
        <v>72</v>
      </c>
      <c r="B706" t="s">
        <v>10814</v>
      </c>
      <c r="C706" t="s">
        <v>74</v>
      </c>
      <c r="D706" t="s">
        <v>74</v>
      </c>
      <c r="E706" t="s">
        <v>74</v>
      </c>
      <c r="F706" t="s">
        <v>10814</v>
      </c>
      <c r="G706" t="s">
        <v>74</v>
      </c>
      <c r="H706" t="s">
        <v>74</v>
      </c>
      <c r="I706" t="s">
        <v>10815</v>
      </c>
      <c r="J706" t="s">
        <v>5721</v>
      </c>
      <c r="K706" t="s">
        <v>74</v>
      </c>
      <c r="L706" t="s">
        <v>74</v>
      </c>
      <c r="M706" t="s">
        <v>78</v>
      </c>
      <c r="N706" t="s">
        <v>79</v>
      </c>
      <c r="O706" t="s">
        <v>74</v>
      </c>
      <c r="P706" t="s">
        <v>74</v>
      </c>
      <c r="Q706" t="s">
        <v>74</v>
      </c>
      <c r="R706" t="s">
        <v>74</v>
      </c>
      <c r="S706" t="s">
        <v>74</v>
      </c>
      <c r="T706" t="s">
        <v>74</v>
      </c>
      <c r="U706" t="s">
        <v>10816</v>
      </c>
      <c r="V706" t="s">
        <v>10817</v>
      </c>
      <c r="W706" t="s">
        <v>10818</v>
      </c>
      <c r="X706" t="s">
        <v>10819</v>
      </c>
      <c r="Y706" t="s">
        <v>10820</v>
      </c>
      <c r="Z706" t="s">
        <v>10821</v>
      </c>
      <c r="AA706" t="s">
        <v>74</v>
      </c>
      <c r="AB706" t="s">
        <v>74</v>
      </c>
      <c r="AC706" t="s">
        <v>74</v>
      </c>
      <c r="AD706" t="s">
        <v>74</v>
      </c>
      <c r="AE706" t="s">
        <v>74</v>
      </c>
      <c r="AF706" t="s">
        <v>74</v>
      </c>
      <c r="AG706">
        <v>30</v>
      </c>
      <c r="AH706">
        <v>17</v>
      </c>
      <c r="AI706">
        <v>17</v>
      </c>
      <c r="AJ706">
        <v>0</v>
      </c>
      <c r="AK706">
        <v>7</v>
      </c>
      <c r="AL706" t="s">
        <v>387</v>
      </c>
      <c r="AM706" t="s">
        <v>388</v>
      </c>
      <c r="AN706" t="s">
        <v>389</v>
      </c>
      <c r="AO706" t="s">
        <v>5729</v>
      </c>
      <c r="AP706" t="s">
        <v>74</v>
      </c>
      <c r="AQ706" t="s">
        <v>74</v>
      </c>
      <c r="AR706" t="s">
        <v>5730</v>
      </c>
      <c r="AS706" t="s">
        <v>5731</v>
      </c>
      <c r="AT706" t="s">
        <v>9687</v>
      </c>
      <c r="AU706">
        <v>2006</v>
      </c>
      <c r="AV706">
        <v>25</v>
      </c>
      <c r="AW706" t="s">
        <v>6373</v>
      </c>
      <c r="AX706" t="s">
        <v>74</v>
      </c>
      <c r="AY706" t="s">
        <v>74</v>
      </c>
      <c r="AZ706" t="s">
        <v>74</v>
      </c>
      <c r="BA706" t="s">
        <v>74</v>
      </c>
      <c r="BB706">
        <v>455</v>
      </c>
      <c r="BC706">
        <v>473</v>
      </c>
      <c r="BD706" t="s">
        <v>74</v>
      </c>
      <c r="BE706" t="s">
        <v>10822</v>
      </c>
      <c r="BF706" t="str">
        <f>HYPERLINK("http://dx.doi.org/10.1016/j.quascirev.2005.06.009","http://dx.doi.org/10.1016/j.quascirev.2005.06.009")</f>
        <v>http://dx.doi.org/10.1016/j.quascirev.2005.06.009</v>
      </c>
      <c r="BG706" t="s">
        <v>74</v>
      </c>
      <c r="BH706" t="s">
        <v>74</v>
      </c>
      <c r="BI706">
        <v>19</v>
      </c>
      <c r="BJ706" t="s">
        <v>2893</v>
      </c>
      <c r="BK706" t="s">
        <v>97</v>
      </c>
      <c r="BL706" t="s">
        <v>2894</v>
      </c>
      <c r="BM706" t="s">
        <v>10823</v>
      </c>
      <c r="BN706" t="s">
        <v>74</v>
      </c>
      <c r="BO706" t="s">
        <v>74</v>
      </c>
      <c r="BP706" t="s">
        <v>74</v>
      </c>
      <c r="BQ706" t="s">
        <v>74</v>
      </c>
      <c r="BR706" t="s">
        <v>100</v>
      </c>
      <c r="BS706" t="s">
        <v>10824</v>
      </c>
      <c r="BT706" t="str">
        <f>HYPERLINK("https%3A%2F%2Fwww.webofscience.com%2Fwos%2Fwoscc%2Ffull-record%2FWOS:000236932800006","View Full Record in Web of Science")</f>
        <v>View Full Record in Web of Science</v>
      </c>
    </row>
    <row r="707" spans="1:72" x14ac:dyDescent="0.15">
      <c r="A707" t="s">
        <v>72</v>
      </c>
      <c r="B707" t="s">
        <v>10825</v>
      </c>
      <c r="C707" t="s">
        <v>74</v>
      </c>
      <c r="D707" t="s">
        <v>74</v>
      </c>
      <c r="E707" t="s">
        <v>74</v>
      </c>
      <c r="F707" t="s">
        <v>10825</v>
      </c>
      <c r="G707" t="s">
        <v>74</v>
      </c>
      <c r="H707" t="s">
        <v>74</v>
      </c>
      <c r="I707" t="s">
        <v>10826</v>
      </c>
      <c r="J707" t="s">
        <v>5721</v>
      </c>
      <c r="K707" t="s">
        <v>74</v>
      </c>
      <c r="L707" t="s">
        <v>74</v>
      </c>
      <c r="M707" t="s">
        <v>78</v>
      </c>
      <c r="N707" t="s">
        <v>79</v>
      </c>
      <c r="O707" t="s">
        <v>74</v>
      </c>
      <c r="P707" t="s">
        <v>74</v>
      </c>
      <c r="Q707" t="s">
        <v>74</v>
      </c>
      <c r="R707" t="s">
        <v>74</v>
      </c>
      <c r="S707" t="s">
        <v>74</v>
      </c>
      <c r="T707" t="s">
        <v>74</v>
      </c>
      <c r="U707" t="s">
        <v>10827</v>
      </c>
      <c r="V707" t="s">
        <v>10828</v>
      </c>
      <c r="W707" t="s">
        <v>10829</v>
      </c>
      <c r="X707" t="s">
        <v>10830</v>
      </c>
      <c r="Y707" t="s">
        <v>10831</v>
      </c>
      <c r="Z707" t="s">
        <v>10832</v>
      </c>
      <c r="AA707" t="s">
        <v>74</v>
      </c>
      <c r="AB707" t="s">
        <v>74</v>
      </c>
      <c r="AC707" t="s">
        <v>74</v>
      </c>
      <c r="AD707" t="s">
        <v>74</v>
      </c>
      <c r="AE707" t="s">
        <v>74</v>
      </c>
      <c r="AF707" t="s">
        <v>74</v>
      </c>
      <c r="AG707">
        <v>38</v>
      </c>
      <c r="AH707">
        <v>32</v>
      </c>
      <c r="AI707">
        <v>35</v>
      </c>
      <c r="AJ707">
        <v>1</v>
      </c>
      <c r="AK707">
        <v>8</v>
      </c>
      <c r="AL707" t="s">
        <v>387</v>
      </c>
      <c r="AM707" t="s">
        <v>388</v>
      </c>
      <c r="AN707" t="s">
        <v>389</v>
      </c>
      <c r="AO707" t="s">
        <v>5729</v>
      </c>
      <c r="AP707" t="s">
        <v>74</v>
      </c>
      <c r="AQ707" t="s">
        <v>74</v>
      </c>
      <c r="AR707" t="s">
        <v>5730</v>
      </c>
      <c r="AS707" t="s">
        <v>5731</v>
      </c>
      <c r="AT707" t="s">
        <v>9687</v>
      </c>
      <c r="AU707">
        <v>2006</v>
      </c>
      <c r="AV707">
        <v>25</v>
      </c>
      <c r="AW707" t="s">
        <v>6373</v>
      </c>
      <c r="AX707" t="s">
        <v>74</v>
      </c>
      <c r="AY707" t="s">
        <v>74</v>
      </c>
      <c r="AZ707" t="s">
        <v>74</v>
      </c>
      <c r="BA707" t="s">
        <v>74</v>
      </c>
      <c r="BB707">
        <v>474</v>
      </c>
      <c r="BC707">
        <v>485</v>
      </c>
      <c r="BD707" t="s">
        <v>74</v>
      </c>
      <c r="BE707" t="s">
        <v>10833</v>
      </c>
      <c r="BF707" t="str">
        <f>HYPERLINK("http://dx.doi.org/10.1016/j.quascirev.2005.04.009","http://dx.doi.org/10.1016/j.quascirev.2005.04.009")</f>
        <v>http://dx.doi.org/10.1016/j.quascirev.2005.04.009</v>
      </c>
      <c r="BG707" t="s">
        <v>74</v>
      </c>
      <c r="BH707" t="s">
        <v>74</v>
      </c>
      <c r="BI707">
        <v>12</v>
      </c>
      <c r="BJ707" t="s">
        <v>2893</v>
      </c>
      <c r="BK707" t="s">
        <v>97</v>
      </c>
      <c r="BL707" t="s">
        <v>2894</v>
      </c>
      <c r="BM707" t="s">
        <v>10823</v>
      </c>
      <c r="BN707" t="s">
        <v>74</v>
      </c>
      <c r="BO707" t="s">
        <v>74</v>
      </c>
      <c r="BP707" t="s">
        <v>74</v>
      </c>
      <c r="BQ707" t="s">
        <v>74</v>
      </c>
      <c r="BR707" t="s">
        <v>100</v>
      </c>
      <c r="BS707" t="s">
        <v>10834</v>
      </c>
      <c r="BT707" t="str">
        <f>HYPERLINK("https%3A%2F%2Fwww.webofscience.com%2Fwos%2Fwoscc%2Ffull-record%2FWOS:000236932800007","View Full Record in Web of Science")</f>
        <v>View Full Record in Web of Science</v>
      </c>
    </row>
    <row r="708" spans="1:72" x14ac:dyDescent="0.15">
      <c r="A708" t="s">
        <v>72</v>
      </c>
      <c r="B708" t="s">
        <v>10835</v>
      </c>
      <c r="C708" t="s">
        <v>74</v>
      </c>
      <c r="D708" t="s">
        <v>74</v>
      </c>
      <c r="E708" t="s">
        <v>74</v>
      </c>
      <c r="F708" t="s">
        <v>10835</v>
      </c>
      <c r="G708" t="s">
        <v>74</v>
      </c>
      <c r="H708" t="s">
        <v>74</v>
      </c>
      <c r="I708" t="s">
        <v>10836</v>
      </c>
      <c r="J708" t="s">
        <v>10837</v>
      </c>
      <c r="K708" t="s">
        <v>74</v>
      </c>
      <c r="L708" t="s">
        <v>74</v>
      </c>
      <c r="M708" t="s">
        <v>78</v>
      </c>
      <c r="N708" t="s">
        <v>79</v>
      </c>
      <c r="O708" t="s">
        <v>74</v>
      </c>
      <c r="P708" t="s">
        <v>74</v>
      </c>
      <c r="Q708" t="s">
        <v>74</v>
      </c>
      <c r="R708" t="s">
        <v>74</v>
      </c>
      <c r="S708" t="s">
        <v>74</v>
      </c>
      <c r="T708" t="s">
        <v>10838</v>
      </c>
      <c r="U708" t="s">
        <v>10839</v>
      </c>
      <c r="V708" t="s">
        <v>10840</v>
      </c>
      <c r="W708" t="s">
        <v>10841</v>
      </c>
      <c r="X708" t="s">
        <v>10842</v>
      </c>
      <c r="Y708" t="s">
        <v>10843</v>
      </c>
      <c r="Z708" t="s">
        <v>10844</v>
      </c>
      <c r="AA708" t="s">
        <v>4644</v>
      </c>
      <c r="AB708" t="s">
        <v>10845</v>
      </c>
      <c r="AC708" t="s">
        <v>74</v>
      </c>
      <c r="AD708" t="s">
        <v>74</v>
      </c>
      <c r="AE708" t="s">
        <v>74</v>
      </c>
      <c r="AF708" t="s">
        <v>74</v>
      </c>
      <c r="AG708">
        <v>74</v>
      </c>
      <c r="AH708">
        <v>35</v>
      </c>
      <c r="AI708">
        <v>38</v>
      </c>
      <c r="AJ708">
        <v>0</v>
      </c>
      <c r="AK708">
        <v>3</v>
      </c>
      <c r="AL708" t="s">
        <v>519</v>
      </c>
      <c r="AM708" t="s">
        <v>520</v>
      </c>
      <c r="AN708" t="s">
        <v>521</v>
      </c>
      <c r="AO708" t="s">
        <v>10846</v>
      </c>
      <c r="AP708" t="s">
        <v>10847</v>
      </c>
      <c r="AQ708" t="s">
        <v>74</v>
      </c>
      <c r="AR708" t="s">
        <v>10848</v>
      </c>
      <c r="AS708" t="s">
        <v>10849</v>
      </c>
      <c r="AT708" t="s">
        <v>9687</v>
      </c>
      <c r="AU708">
        <v>2006</v>
      </c>
      <c r="AV708">
        <v>138</v>
      </c>
      <c r="AW708">
        <v>2</v>
      </c>
      <c r="AX708" t="s">
        <v>74</v>
      </c>
      <c r="AY708" t="s">
        <v>74</v>
      </c>
      <c r="AZ708" t="s">
        <v>74</v>
      </c>
      <c r="BA708" t="s">
        <v>74</v>
      </c>
      <c r="BB708">
        <v>73</v>
      </c>
      <c r="BC708">
        <v>93</v>
      </c>
      <c r="BD708" t="s">
        <v>74</v>
      </c>
      <c r="BE708" t="s">
        <v>10850</v>
      </c>
      <c r="BF708" t="str">
        <f>HYPERLINK("http://dx.doi.org/10.1016/j.revpalbo.2005.11.001","http://dx.doi.org/10.1016/j.revpalbo.2005.11.001")</f>
        <v>http://dx.doi.org/10.1016/j.revpalbo.2005.11.001</v>
      </c>
      <c r="BG708" t="s">
        <v>74</v>
      </c>
      <c r="BH708" t="s">
        <v>74</v>
      </c>
      <c r="BI708">
        <v>21</v>
      </c>
      <c r="BJ708" t="s">
        <v>10851</v>
      </c>
      <c r="BK708" t="s">
        <v>97</v>
      </c>
      <c r="BL708" t="s">
        <v>10851</v>
      </c>
      <c r="BM708" t="s">
        <v>10852</v>
      </c>
      <c r="BN708" t="s">
        <v>74</v>
      </c>
      <c r="BO708" t="s">
        <v>74</v>
      </c>
      <c r="BP708" t="s">
        <v>74</v>
      </c>
      <c r="BQ708" t="s">
        <v>74</v>
      </c>
      <c r="BR708" t="s">
        <v>100</v>
      </c>
      <c r="BS708" t="s">
        <v>10853</v>
      </c>
      <c r="BT708" t="str">
        <f>HYPERLINK("https%3A%2F%2Fwww.webofscience.com%2Fwos%2Fwoscc%2Ffull-record%2FWOS:000236488400001","View Full Record in Web of Science")</f>
        <v>View Full Record in Web of Science</v>
      </c>
    </row>
    <row r="709" spans="1:72" x14ac:dyDescent="0.15">
      <c r="A709" t="s">
        <v>72</v>
      </c>
      <c r="B709" t="s">
        <v>10854</v>
      </c>
      <c r="C709" t="s">
        <v>74</v>
      </c>
      <c r="D709" t="s">
        <v>74</v>
      </c>
      <c r="E709" t="s">
        <v>74</v>
      </c>
      <c r="F709" t="s">
        <v>10854</v>
      </c>
      <c r="G709" t="s">
        <v>74</v>
      </c>
      <c r="H709" t="s">
        <v>74</v>
      </c>
      <c r="I709" t="s">
        <v>10855</v>
      </c>
      <c r="J709" t="s">
        <v>10856</v>
      </c>
      <c r="K709" t="s">
        <v>74</v>
      </c>
      <c r="L709" t="s">
        <v>74</v>
      </c>
      <c r="M709" t="s">
        <v>78</v>
      </c>
      <c r="N709" t="s">
        <v>79</v>
      </c>
      <c r="O709" t="s">
        <v>74</v>
      </c>
      <c r="P709" t="s">
        <v>74</v>
      </c>
      <c r="Q709" t="s">
        <v>74</v>
      </c>
      <c r="R709" t="s">
        <v>74</v>
      </c>
      <c r="S709" t="s">
        <v>74</v>
      </c>
      <c r="T709" t="s">
        <v>10857</v>
      </c>
      <c r="U709" t="s">
        <v>10858</v>
      </c>
      <c r="V709" t="s">
        <v>10859</v>
      </c>
      <c r="W709" t="s">
        <v>10860</v>
      </c>
      <c r="X709" t="s">
        <v>6520</v>
      </c>
      <c r="Y709" t="s">
        <v>10861</v>
      </c>
      <c r="Z709" t="s">
        <v>10862</v>
      </c>
      <c r="AA709" t="s">
        <v>10863</v>
      </c>
      <c r="AB709" t="s">
        <v>10864</v>
      </c>
      <c r="AC709" t="s">
        <v>74</v>
      </c>
      <c r="AD709" t="s">
        <v>74</v>
      </c>
      <c r="AE709" t="s">
        <v>74</v>
      </c>
      <c r="AF709" t="s">
        <v>74</v>
      </c>
      <c r="AG709">
        <v>33</v>
      </c>
      <c r="AH709">
        <v>19</v>
      </c>
      <c r="AI709">
        <v>19</v>
      </c>
      <c r="AJ709">
        <v>0</v>
      </c>
      <c r="AK709">
        <v>5</v>
      </c>
      <c r="AL709" t="s">
        <v>10865</v>
      </c>
      <c r="AM709" t="s">
        <v>3716</v>
      </c>
      <c r="AN709" t="s">
        <v>10866</v>
      </c>
      <c r="AO709" t="s">
        <v>10867</v>
      </c>
      <c r="AP709" t="s">
        <v>10868</v>
      </c>
      <c r="AQ709" t="s">
        <v>74</v>
      </c>
      <c r="AR709" t="s">
        <v>10869</v>
      </c>
      <c r="AS709" t="s">
        <v>10870</v>
      </c>
      <c r="AT709" t="s">
        <v>9687</v>
      </c>
      <c r="AU709">
        <v>2006</v>
      </c>
      <c r="AV709">
        <v>79</v>
      </c>
      <c r="AW709">
        <v>1</v>
      </c>
      <c r="AX709" t="s">
        <v>74</v>
      </c>
      <c r="AY709" t="s">
        <v>74</v>
      </c>
      <c r="AZ709" t="s">
        <v>74</v>
      </c>
      <c r="BA709" t="s">
        <v>74</v>
      </c>
      <c r="BB709">
        <v>41</v>
      </c>
      <c r="BC709">
        <v>53</v>
      </c>
      <c r="BD709" t="s">
        <v>74</v>
      </c>
      <c r="BE709" t="s">
        <v>74</v>
      </c>
      <c r="BF709" t="s">
        <v>74</v>
      </c>
      <c r="BG709" t="s">
        <v>74</v>
      </c>
      <c r="BH709" t="s">
        <v>74</v>
      </c>
      <c r="BI709">
        <v>13</v>
      </c>
      <c r="BJ709" t="s">
        <v>1525</v>
      </c>
      <c r="BK709" t="s">
        <v>97</v>
      </c>
      <c r="BL709" t="s">
        <v>1526</v>
      </c>
      <c r="BM709" t="s">
        <v>10871</v>
      </c>
      <c r="BN709" t="s">
        <v>74</v>
      </c>
      <c r="BO709" t="s">
        <v>74</v>
      </c>
      <c r="BP709" t="s">
        <v>74</v>
      </c>
      <c r="BQ709" t="s">
        <v>74</v>
      </c>
      <c r="BR709" t="s">
        <v>100</v>
      </c>
      <c r="BS709" t="s">
        <v>10872</v>
      </c>
      <c r="BT709" t="str">
        <f>HYPERLINK("https%3A%2F%2Fwww.webofscience.com%2Fwos%2Fwoscc%2Ffull-record%2FWOS:000236490000004","View Full Record in Web of Science")</f>
        <v>View Full Record in Web of Science</v>
      </c>
    </row>
    <row r="710" spans="1:72" x14ac:dyDescent="0.15">
      <c r="A710" t="s">
        <v>72</v>
      </c>
      <c r="B710" t="s">
        <v>10873</v>
      </c>
      <c r="C710" t="s">
        <v>74</v>
      </c>
      <c r="D710" t="s">
        <v>74</v>
      </c>
      <c r="E710" t="s">
        <v>74</v>
      </c>
      <c r="F710" t="s">
        <v>10873</v>
      </c>
      <c r="G710" t="s">
        <v>74</v>
      </c>
      <c r="H710" t="s">
        <v>74</v>
      </c>
      <c r="I710" t="s">
        <v>10874</v>
      </c>
      <c r="J710" t="s">
        <v>5791</v>
      </c>
      <c r="K710" t="s">
        <v>74</v>
      </c>
      <c r="L710" t="s">
        <v>74</v>
      </c>
      <c r="M710" t="s">
        <v>78</v>
      </c>
      <c r="N710" t="s">
        <v>79</v>
      </c>
      <c r="O710" t="s">
        <v>74</v>
      </c>
      <c r="P710" t="s">
        <v>74</v>
      </c>
      <c r="Q710" t="s">
        <v>74</v>
      </c>
      <c r="R710" t="s">
        <v>74</v>
      </c>
      <c r="S710" t="s">
        <v>74</v>
      </c>
      <c r="T710" t="s">
        <v>10875</v>
      </c>
      <c r="U710" t="s">
        <v>10876</v>
      </c>
      <c r="V710" t="s">
        <v>10877</v>
      </c>
      <c r="W710" t="s">
        <v>10878</v>
      </c>
      <c r="X710" t="s">
        <v>10879</v>
      </c>
      <c r="Y710" t="s">
        <v>10880</v>
      </c>
      <c r="Z710" t="s">
        <v>10881</v>
      </c>
      <c r="AA710" t="s">
        <v>10882</v>
      </c>
      <c r="AB710" t="s">
        <v>10883</v>
      </c>
      <c r="AC710" t="s">
        <v>74</v>
      </c>
      <c r="AD710" t="s">
        <v>74</v>
      </c>
      <c r="AE710" t="s">
        <v>74</v>
      </c>
      <c r="AF710" t="s">
        <v>74</v>
      </c>
      <c r="AG710">
        <v>18</v>
      </c>
      <c r="AH710">
        <v>154</v>
      </c>
      <c r="AI710">
        <v>172</v>
      </c>
      <c r="AJ710">
        <v>1</v>
      </c>
      <c r="AK710">
        <v>19</v>
      </c>
      <c r="AL710" t="s">
        <v>5801</v>
      </c>
      <c r="AM710" t="s">
        <v>5802</v>
      </c>
      <c r="AN710" t="s">
        <v>5803</v>
      </c>
      <c r="AO710" t="s">
        <v>5804</v>
      </c>
      <c r="AP710" t="s">
        <v>5805</v>
      </c>
      <c r="AQ710" t="s">
        <v>74</v>
      </c>
      <c r="AR710" t="s">
        <v>5806</v>
      </c>
      <c r="AS710" t="s">
        <v>5807</v>
      </c>
      <c r="AT710" t="s">
        <v>9687</v>
      </c>
      <c r="AU710">
        <v>2006</v>
      </c>
      <c r="AV710">
        <v>70</v>
      </c>
      <c r="AW710">
        <v>1</v>
      </c>
      <c r="AX710" t="s">
        <v>74</v>
      </c>
      <c r="AY710" t="s">
        <v>74</v>
      </c>
      <c r="AZ710" t="s">
        <v>74</v>
      </c>
      <c r="BA710" t="s">
        <v>74</v>
      </c>
      <c r="BB710">
        <v>147</v>
      </c>
      <c r="BC710">
        <v>152</v>
      </c>
      <c r="BD710" t="s">
        <v>74</v>
      </c>
      <c r="BE710" t="s">
        <v>10884</v>
      </c>
      <c r="BF710" t="str">
        <f>HYPERLINK("http://dx.doi.org/10.3989/scimar.2006.70n1147","http://dx.doi.org/10.3989/scimar.2006.70n1147")</f>
        <v>http://dx.doi.org/10.3989/scimar.2006.70n1147</v>
      </c>
      <c r="BG710" t="s">
        <v>74</v>
      </c>
      <c r="BH710" t="s">
        <v>74</v>
      </c>
      <c r="BI710">
        <v>6</v>
      </c>
      <c r="BJ710" t="s">
        <v>1146</v>
      </c>
      <c r="BK710" t="s">
        <v>97</v>
      </c>
      <c r="BL710" t="s">
        <v>1146</v>
      </c>
      <c r="BM710" t="s">
        <v>10885</v>
      </c>
      <c r="BN710" t="s">
        <v>74</v>
      </c>
      <c r="BO710" t="s">
        <v>10886</v>
      </c>
      <c r="BP710" t="s">
        <v>74</v>
      </c>
      <c r="BQ710" t="s">
        <v>74</v>
      </c>
      <c r="BR710" t="s">
        <v>100</v>
      </c>
      <c r="BS710" t="s">
        <v>10887</v>
      </c>
      <c r="BT710" t="str">
        <f>HYPERLINK("https%3A%2F%2Fwww.webofscience.com%2Fwos%2Fwoscc%2Ffull-record%2FWOS:000236447100016","View Full Record in Web of Science")</f>
        <v>View Full Record in Web of Science</v>
      </c>
    </row>
    <row r="711" spans="1:72" x14ac:dyDescent="0.15">
      <c r="A711" t="s">
        <v>72</v>
      </c>
      <c r="B711" t="s">
        <v>10888</v>
      </c>
      <c r="C711" t="s">
        <v>74</v>
      </c>
      <c r="D711" t="s">
        <v>74</v>
      </c>
      <c r="E711" t="s">
        <v>74</v>
      </c>
      <c r="F711" t="s">
        <v>10889</v>
      </c>
      <c r="G711" t="s">
        <v>74</v>
      </c>
      <c r="H711" t="s">
        <v>74</v>
      </c>
      <c r="I711" t="s">
        <v>10890</v>
      </c>
      <c r="J711" t="s">
        <v>10891</v>
      </c>
      <c r="K711" t="s">
        <v>74</v>
      </c>
      <c r="L711" t="s">
        <v>74</v>
      </c>
      <c r="M711" t="s">
        <v>78</v>
      </c>
      <c r="N711" t="s">
        <v>511</v>
      </c>
      <c r="O711" t="s">
        <v>74</v>
      </c>
      <c r="P711" t="s">
        <v>74</v>
      </c>
      <c r="Q711" t="s">
        <v>74</v>
      </c>
      <c r="R711" t="s">
        <v>74</v>
      </c>
      <c r="S711" t="s">
        <v>74</v>
      </c>
      <c r="T711" t="s">
        <v>10892</v>
      </c>
      <c r="U711" t="s">
        <v>10893</v>
      </c>
      <c r="V711" t="s">
        <v>10894</v>
      </c>
      <c r="W711" t="s">
        <v>10895</v>
      </c>
      <c r="X711" t="s">
        <v>10896</v>
      </c>
      <c r="Y711" t="s">
        <v>10897</v>
      </c>
      <c r="Z711" t="s">
        <v>74</v>
      </c>
      <c r="AA711" t="s">
        <v>10898</v>
      </c>
      <c r="AB711" t="s">
        <v>74</v>
      </c>
      <c r="AC711" t="s">
        <v>74</v>
      </c>
      <c r="AD711" t="s">
        <v>74</v>
      </c>
      <c r="AE711" t="s">
        <v>74</v>
      </c>
      <c r="AF711" t="s">
        <v>74</v>
      </c>
      <c r="AG711">
        <v>135</v>
      </c>
      <c r="AH711">
        <v>5</v>
      </c>
      <c r="AI711">
        <v>5</v>
      </c>
      <c r="AJ711">
        <v>0</v>
      </c>
      <c r="AK711">
        <v>5</v>
      </c>
      <c r="AL711" t="s">
        <v>7013</v>
      </c>
      <c r="AM711" t="s">
        <v>7014</v>
      </c>
      <c r="AN711" t="s">
        <v>7015</v>
      </c>
      <c r="AO711" t="s">
        <v>10899</v>
      </c>
      <c r="AP711" t="s">
        <v>10900</v>
      </c>
      <c r="AQ711" t="s">
        <v>74</v>
      </c>
      <c r="AR711" t="s">
        <v>10901</v>
      </c>
      <c r="AS711" t="s">
        <v>10902</v>
      </c>
      <c r="AT711" t="s">
        <v>9687</v>
      </c>
      <c r="AU711">
        <v>2006</v>
      </c>
      <c r="AV711">
        <v>14</v>
      </c>
      <c r="AW711">
        <v>2</v>
      </c>
      <c r="AX711" t="s">
        <v>74</v>
      </c>
      <c r="AY711" t="s">
        <v>74</v>
      </c>
      <c r="AZ711" t="s">
        <v>74</v>
      </c>
      <c r="BA711" t="s">
        <v>74</v>
      </c>
      <c r="BB711">
        <v>126</v>
      </c>
      <c r="BC711">
        <v>149</v>
      </c>
      <c r="BD711" t="s">
        <v>74</v>
      </c>
      <c r="BE711" t="s">
        <v>10903</v>
      </c>
      <c r="BF711" t="str">
        <f>HYPERLINK("http://dx.doi.org/10.1134/S086959380602002X","http://dx.doi.org/10.1134/S086959380602002X")</f>
        <v>http://dx.doi.org/10.1134/S086959380602002X</v>
      </c>
      <c r="BG711" t="s">
        <v>74</v>
      </c>
      <c r="BH711" t="s">
        <v>74</v>
      </c>
      <c r="BI711">
        <v>24</v>
      </c>
      <c r="BJ711" t="s">
        <v>10120</v>
      </c>
      <c r="BK711" t="s">
        <v>97</v>
      </c>
      <c r="BL711" t="s">
        <v>10120</v>
      </c>
      <c r="BM711" t="s">
        <v>10904</v>
      </c>
      <c r="BN711" t="s">
        <v>74</v>
      </c>
      <c r="BO711" t="s">
        <v>74</v>
      </c>
      <c r="BP711" t="s">
        <v>74</v>
      </c>
      <c r="BQ711" t="s">
        <v>74</v>
      </c>
      <c r="BR711" t="s">
        <v>100</v>
      </c>
      <c r="BS711" t="s">
        <v>10905</v>
      </c>
      <c r="BT711" t="str">
        <f>HYPERLINK("https%3A%2F%2Fwww.webofscience.com%2Fwos%2Fwoscc%2Ffull-record%2FWOS:000244934000002","View Full Record in Web of Science")</f>
        <v>View Full Record in Web of Science</v>
      </c>
    </row>
    <row r="712" spans="1:72" x14ac:dyDescent="0.15">
      <c r="A712" t="s">
        <v>72</v>
      </c>
      <c r="B712" t="s">
        <v>10906</v>
      </c>
      <c r="C712" t="s">
        <v>74</v>
      </c>
      <c r="D712" t="s">
        <v>74</v>
      </c>
      <c r="E712" t="s">
        <v>74</v>
      </c>
      <c r="F712" t="s">
        <v>10906</v>
      </c>
      <c r="G712" t="s">
        <v>74</v>
      </c>
      <c r="H712" t="s">
        <v>74</v>
      </c>
      <c r="I712" t="s">
        <v>10907</v>
      </c>
      <c r="J712" t="s">
        <v>10908</v>
      </c>
      <c r="K712" t="s">
        <v>74</v>
      </c>
      <c r="L712" t="s">
        <v>74</v>
      </c>
      <c r="M712" t="s">
        <v>78</v>
      </c>
      <c r="N712" t="s">
        <v>79</v>
      </c>
      <c r="O712" t="s">
        <v>74</v>
      </c>
      <c r="P712" t="s">
        <v>74</v>
      </c>
      <c r="Q712" t="s">
        <v>74</v>
      </c>
      <c r="R712" t="s">
        <v>74</v>
      </c>
      <c r="S712" t="s">
        <v>74</v>
      </c>
      <c r="T712" t="s">
        <v>10909</v>
      </c>
      <c r="U712" t="s">
        <v>10910</v>
      </c>
      <c r="V712" t="s">
        <v>10911</v>
      </c>
      <c r="W712" t="s">
        <v>10912</v>
      </c>
      <c r="X712" t="s">
        <v>10913</v>
      </c>
      <c r="Y712" t="s">
        <v>7203</v>
      </c>
      <c r="Z712" t="s">
        <v>10914</v>
      </c>
      <c r="AA712" t="s">
        <v>10915</v>
      </c>
      <c r="AB712" t="s">
        <v>10916</v>
      </c>
      <c r="AC712" t="s">
        <v>74</v>
      </c>
      <c r="AD712" t="s">
        <v>74</v>
      </c>
      <c r="AE712" t="s">
        <v>74</v>
      </c>
      <c r="AF712" t="s">
        <v>74</v>
      </c>
      <c r="AG712">
        <v>43</v>
      </c>
      <c r="AH712">
        <v>37</v>
      </c>
      <c r="AI712">
        <v>41</v>
      </c>
      <c r="AJ712">
        <v>1</v>
      </c>
      <c r="AK712">
        <v>10</v>
      </c>
      <c r="AL712" t="s">
        <v>387</v>
      </c>
      <c r="AM712" t="s">
        <v>388</v>
      </c>
      <c r="AN712" t="s">
        <v>389</v>
      </c>
      <c r="AO712" t="s">
        <v>10917</v>
      </c>
      <c r="AP712" t="s">
        <v>74</v>
      </c>
      <c r="AQ712" t="s">
        <v>74</v>
      </c>
      <c r="AR712" t="s">
        <v>10908</v>
      </c>
      <c r="AS712" t="s">
        <v>10918</v>
      </c>
      <c r="AT712" t="s">
        <v>9687</v>
      </c>
      <c r="AU712">
        <v>2006</v>
      </c>
      <c r="AV712">
        <v>47</v>
      </c>
      <c r="AW712">
        <v>3</v>
      </c>
      <c r="AX712" t="s">
        <v>74</v>
      </c>
      <c r="AY712" t="s">
        <v>74</v>
      </c>
      <c r="AZ712" t="s">
        <v>74</v>
      </c>
      <c r="BA712" t="s">
        <v>74</v>
      </c>
      <c r="BB712">
        <v>271</v>
      </c>
      <c r="BC712">
        <v>278</v>
      </c>
      <c r="BD712" t="s">
        <v>74</v>
      </c>
      <c r="BE712" t="s">
        <v>10919</v>
      </c>
      <c r="BF712" t="str">
        <f>HYPERLINK("http://dx.doi.org/10.1016/j.toxicon.2005.11.002","http://dx.doi.org/10.1016/j.toxicon.2005.11.002")</f>
        <v>http://dx.doi.org/10.1016/j.toxicon.2005.11.002</v>
      </c>
      <c r="BG712" t="s">
        <v>74</v>
      </c>
      <c r="BH712" t="s">
        <v>74</v>
      </c>
      <c r="BI712">
        <v>8</v>
      </c>
      <c r="BJ712" t="s">
        <v>10920</v>
      </c>
      <c r="BK712" t="s">
        <v>97</v>
      </c>
      <c r="BL712" t="s">
        <v>10920</v>
      </c>
      <c r="BM712" t="s">
        <v>10921</v>
      </c>
      <c r="BN712">
        <v>16386280</v>
      </c>
      <c r="BO712" t="s">
        <v>99</v>
      </c>
      <c r="BP712" t="s">
        <v>74</v>
      </c>
      <c r="BQ712" t="s">
        <v>74</v>
      </c>
      <c r="BR712" t="s">
        <v>100</v>
      </c>
      <c r="BS712" t="s">
        <v>10922</v>
      </c>
      <c r="BT712" t="str">
        <f>HYPERLINK("https%3A%2F%2Fwww.webofscience.com%2Fwos%2Fwoscc%2Ffull-record%2FWOS:000236122700004","View Full Record in Web of Science")</f>
        <v>View Full Record in Web of Science</v>
      </c>
    </row>
    <row r="713" spans="1:72" x14ac:dyDescent="0.15">
      <c r="A713" t="s">
        <v>72</v>
      </c>
      <c r="B713" t="s">
        <v>10923</v>
      </c>
      <c r="C713" t="s">
        <v>74</v>
      </c>
      <c r="D713" t="s">
        <v>74</v>
      </c>
      <c r="E713" t="s">
        <v>74</v>
      </c>
      <c r="F713" t="s">
        <v>10924</v>
      </c>
      <c r="G713" t="s">
        <v>74</v>
      </c>
      <c r="H713" t="s">
        <v>74</v>
      </c>
      <c r="I713" t="s">
        <v>10925</v>
      </c>
      <c r="J713" t="s">
        <v>10926</v>
      </c>
      <c r="K713" t="s">
        <v>74</v>
      </c>
      <c r="L713" t="s">
        <v>74</v>
      </c>
      <c r="M713" t="s">
        <v>78</v>
      </c>
      <c r="N713" t="s">
        <v>79</v>
      </c>
      <c r="O713" t="s">
        <v>74</v>
      </c>
      <c r="P713" t="s">
        <v>74</v>
      </c>
      <c r="Q713" t="s">
        <v>74</v>
      </c>
      <c r="R713" t="s">
        <v>74</v>
      </c>
      <c r="S713" t="s">
        <v>74</v>
      </c>
      <c r="T713" t="s">
        <v>74</v>
      </c>
      <c r="U713" t="s">
        <v>10927</v>
      </c>
      <c r="V713" t="s">
        <v>10928</v>
      </c>
      <c r="W713" t="s">
        <v>10929</v>
      </c>
      <c r="X713" t="s">
        <v>5176</v>
      </c>
      <c r="Y713" t="s">
        <v>10930</v>
      </c>
      <c r="Z713" t="s">
        <v>10931</v>
      </c>
      <c r="AA713" t="s">
        <v>74</v>
      </c>
      <c r="AB713" t="s">
        <v>74</v>
      </c>
      <c r="AC713" t="s">
        <v>74</v>
      </c>
      <c r="AD713" t="s">
        <v>74</v>
      </c>
      <c r="AE713" t="s">
        <v>74</v>
      </c>
      <c r="AF713" t="s">
        <v>74</v>
      </c>
      <c r="AG713">
        <v>62</v>
      </c>
      <c r="AH713">
        <v>30</v>
      </c>
      <c r="AI713">
        <v>37</v>
      </c>
      <c r="AJ713">
        <v>0</v>
      </c>
      <c r="AK713">
        <v>14</v>
      </c>
      <c r="AL713" t="s">
        <v>115</v>
      </c>
      <c r="AM713" t="s">
        <v>116</v>
      </c>
      <c r="AN713" t="s">
        <v>117</v>
      </c>
      <c r="AO713" t="s">
        <v>10932</v>
      </c>
      <c r="AP713" t="s">
        <v>10933</v>
      </c>
      <c r="AQ713" t="s">
        <v>74</v>
      </c>
      <c r="AR713" t="s">
        <v>10934</v>
      </c>
      <c r="AS713" t="s">
        <v>10935</v>
      </c>
      <c r="AT713" t="s">
        <v>9687</v>
      </c>
      <c r="AU713">
        <v>2006</v>
      </c>
      <c r="AV713">
        <v>135</v>
      </c>
      <c r="AW713">
        <v>2</v>
      </c>
      <c r="AX713" t="s">
        <v>74</v>
      </c>
      <c r="AY713" t="s">
        <v>74</v>
      </c>
      <c r="AZ713" t="s">
        <v>74</v>
      </c>
      <c r="BA713" t="s">
        <v>74</v>
      </c>
      <c r="BB713">
        <v>488</v>
      </c>
      <c r="BC713">
        <v>499</v>
      </c>
      <c r="BD713" t="s">
        <v>74</v>
      </c>
      <c r="BE713" t="s">
        <v>10936</v>
      </c>
      <c r="BF713" t="str">
        <f>HYPERLINK("http://dx.doi.org/10.1577/T04-140.1","http://dx.doi.org/10.1577/T04-140.1")</f>
        <v>http://dx.doi.org/10.1577/T04-140.1</v>
      </c>
      <c r="BG713" t="s">
        <v>74</v>
      </c>
      <c r="BH713" t="s">
        <v>74</v>
      </c>
      <c r="BI713">
        <v>12</v>
      </c>
      <c r="BJ713" t="s">
        <v>123</v>
      </c>
      <c r="BK713" t="s">
        <v>97</v>
      </c>
      <c r="BL713" t="s">
        <v>123</v>
      </c>
      <c r="BM713" t="s">
        <v>10937</v>
      </c>
      <c r="BN713" t="s">
        <v>74</v>
      </c>
      <c r="BO713" t="s">
        <v>74</v>
      </c>
      <c r="BP713" t="s">
        <v>74</v>
      </c>
      <c r="BQ713" t="s">
        <v>74</v>
      </c>
      <c r="BR713" t="s">
        <v>100</v>
      </c>
      <c r="BS713" t="s">
        <v>10938</v>
      </c>
      <c r="BT713" t="str">
        <f>HYPERLINK("https%3A%2F%2Fwww.webofscience.com%2Fwos%2Fwoscc%2Ffull-record%2FWOS:000237818500023","View Full Record in Web of Science")</f>
        <v>View Full Record in Web of Science</v>
      </c>
    </row>
    <row r="714" spans="1:72" x14ac:dyDescent="0.15">
      <c r="A714" t="s">
        <v>72</v>
      </c>
      <c r="B714" t="s">
        <v>10939</v>
      </c>
      <c r="C714" t="s">
        <v>74</v>
      </c>
      <c r="D714" t="s">
        <v>74</v>
      </c>
      <c r="E714" t="s">
        <v>74</v>
      </c>
      <c r="F714" t="s">
        <v>10940</v>
      </c>
      <c r="G714" t="s">
        <v>74</v>
      </c>
      <c r="H714" t="s">
        <v>74</v>
      </c>
      <c r="I714" t="s">
        <v>10941</v>
      </c>
      <c r="J714" t="s">
        <v>10942</v>
      </c>
      <c r="K714" t="s">
        <v>74</v>
      </c>
      <c r="L714" t="s">
        <v>74</v>
      </c>
      <c r="M714" t="s">
        <v>78</v>
      </c>
      <c r="N714" t="s">
        <v>79</v>
      </c>
      <c r="O714" t="s">
        <v>74</v>
      </c>
      <c r="P714" t="s">
        <v>74</v>
      </c>
      <c r="Q714" t="s">
        <v>74</v>
      </c>
      <c r="R714" t="s">
        <v>74</v>
      </c>
      <c r="S714" t="s">
        <v>74</v>
      </c>
      <c r="T714" t="s">
        <v>10943</v>
      </c>
      <c r="U714" t="s">
        <v>10944</v>
      </c>
      <c r="V714" t="s">
        <v>10945</v>
      </c>
      <c r="W714" t="s">
        <v>10946</v>
      </c>
      <c r="X714" t="s">
        <v>10947</v>
      </c>
      <c r="Y714" t="s">
        <v>10948</v>
      </c>
      <c r="Z714" t="s">
        <v>9785</v>
      </c>
      <c r="AA714" t="s">
        <v>74</v>
      </c>
      <c r="AB714" t="s">
        <v>74</v>
      </c>
      <c r="AC714" t="s">
        <v>74</v>
      </c>
      <c r="AD714" t="s">
        <v>74</v>
      </c>
      <c r="AE714" t="s">
        <v>74</v>
      </c>
      <c r="AF714" t="s">
        <v>74</v>
      </c>
      <c r="AG714">
        <v>31</v>
      </c>
      <c r="AH714">
        <v>0</v>
      </c>
      <c r="AI714">
        <v>0</v>
      </c>
      <c r="AJ714">
        <v>1</v>
      </c>
      <c r="AK714">
        <v>8</v>
      </c>
      <c r="AL714" t="s">
        <v>10949</v>
      </c>
      <c r="AM714" t="s">
        <v>10950</v>
      </c>
      <c r="AN714" t="s">
        <v>10951</v>
      </c>
      <c r="AO714" t="s">
        <v>10952</v>
      </c>
      <c r="AP714" t="s">
        <v>74</v>
      </c>
      <c r="AQ714" t="s">
        <v>74</v>
      </c>
      <c r="AR714" t="s">
        <v>10953</v>
      </c>
      <c r="AS714" t="s">
        <v>10954</v>
      </c>
      <c r="AT714" t="s">
        <v>9687</v>
      </c>
      <c r="AU714">
        <v>2006</v>
      </c>
      <c r="AV714">
        <v>56</v>
      </c>
      <c r="AW714">
        <v>1</v>
      </c>
      <c r="AX714" t="s">
        <v>74</v>
      </c>
      <c r="AY714" t="s">
        <v>74</v>
      </c>
      <c r="AZ714" t="s">
        <v>74</v>
      </c>
      <c r="BA714" t="s">
        <v>74</v>
      </c>
      <c r="BB714">
        <v>23</v>
      </c>
      <c r="BC714">
        <v>31</v>
      </c>
      <c r="BD714" t="s">
        <v>74</v>
      </c>
      <c r="BE714" t="s">
        <v>74</v>
      </c>
      <c r="BF714" t="s">
        <v>74</v>
      </c>
      <c r="BG714" t="s">
        <v>74</v>
      </c>
      <c r="BH714" t="s">
        <v>74</v>
      </c>
      <c r="BI714">
        <v>9</v>
      </c>
      <c r="BJ714" t="s">
        <v>2483</v>
      </c>
      <c r="BK714" t="s">
        <v>97</v>
      </c>
      <c r="BL714" t="s">
        <v>1288</v>
      </c>
      <c r="BM714" t="s">
        <v>10955</v>
      </c>
      <c r="BN714" t="s">
        <v>74</v>
      </c>
      <c r="BO714" t="s">
        <v>74</v>
      </c>
      <c r="BP714" t="s">
        <v>74</v>
      </c>
      <c r="BQ714" t="s">
        <v>74</v>
      </c>
      <c r="BR714" t="s">
        <v>100</v>
      </c>
      <c r="BS714" t="s">
        <v>10956</v>
      </c>
      <c r="BT714" t="str">
        <f>HYPERLINK("https%3A%2F%2Fwww.webofscience.com%2Fwos%2Fwoscc%2Ffull-record%2FWOS:000237862300004","View Full Record in Web of Science")</f>
        <v>View Full Record in Web of Science</v>
      </c>
    </row>
    <row r="715" spans="1:72" x14ac:dyDescent="0.15">
      <c r="A715" t="s">
        <v>72</v>
      </c>
      <c r="B715" t="s">
        <v>10957</v>
      </c>
      <c r="C715" t="s">
        <v>74</v>
      </c>
      <c r="D715" t="s">
        <v>74</v>
      </c>
      <c r="E715" t="s">
        <v>74</v>
      </c>
      <c r="F715" t="s">
        <v>10957</v>
      </c>
      <c r="G715" t="s">
        <v>74</v>
      </c>
      <c r="H715" t="s">
        <v>74</v>
      </c>
      <c r="I715" t="s">
        <v>10958</v>
      </c>
      <c r="J715" t="s">
        <v>10959</v>
      </c>
      <c r="K715" t="s">
        <v>74</v>
      </c>
      <c r="L715" t="s">
        <v>74</v>
      </c>
      <c r="M715" t="s">
        <v>78</v>
      </c>
      <c r="N715" t="s">
        <v>511</v>
      </c>
      <c r="O715" t="s">
        <v>74</v>
      </c>
      <c r="P715" t="s">
        <v>74</v>
      </c>
      <c r="Q715" t="s">
        <v>74</v>
      </c>
      <c r="R715" t="s">
        <v>74</v>
      </c>
      <c r="S715" t="s">
        <v>74</v>
      </c>
      <c r="T715" t="s">
        <v>10960</v>
      </c>
      <c r="U715" t="s">
        <v>10961</v>
      </c>
      <c r="V715" t="s">
        <v>10962</v>
      </c>
      <c r="W715" t="s">
        <v>10963</v>
      </c>
      <c r="X715" t="s">
        <v>10964</v>
      </c>
      <c r="Y715" t="s">
        <v>10965</v>
      </c>
      <c r="Z715" t="s">
        <v>10966</v>
      </c>
      <c r="AA715" t="s">
        <v>74</v>
      </c>
      <c r="AB715" t="s">
        <v>10967</v>
      </c>
      <c r="AC715" t="s">
        <v>74</v>
      </c>
      <c r="AD715" t="s">
        <v>74</v>
      </c>
      <c r="AE715" t="s">
        <v>74</v>
      </c>
      <c r="AF715" t="s">
        <v>74</v>
      </c>
      <c r="AG715">
        <v>105</v>
      </c>
      <c r="AH715">
        <v>21</v>
      </c>
      <c r="AI715">
        <v>24</v>
      </c>
      <c r="AJ715">
        <v>6</v>
      </c>
      <c r="AK715">
        <v>48</v>
      </c>
      <c r="AL715" t="s">
        <v>519</v>
      </c>
      <c r="AM715" t="s">
        <v>520</v>
      </c>
      <c r="AN715" t="s">
        <v>521</v>
      </c>
      <c r="AO715" t="s">
        <v>10968</v>
      </c>
      <c r="AP715" t="s">
        <v>10969</v>
      </c>
      <c r="AQ715" t="s">
        <v>74</v>
      </c>
      <c r="AR715" t="s">
        <v>10970</v>
      </c>
      <c r="AS715" t="s">
        <v>10971</v>
      </c>
      <c r="AT715" t="s">
        <v>10972</v>
      </c>
      <c r="AU715">
        <v>2006</v>
      </c>
      <c r="AV715">
        <v>226</v>
      </c>
      <c r="AW715" t="s">
        <v>1243</v>
      </c>
      <c r="AX715" t="s">
        <v>74</v>
      </c>
      <c r="AY715" t="s">
        <v>74</v>
      </c>
      <c r="AZ715" t="s">
        <v>74</v>
      </c>
      <c r="BA715" t="s">
        <v>74</v>
      </c>
      <c r="BB715">
        <v>264</v>
      </c>
      <c r="BC715">
        <v>279</v>
      </c>
      <c r="BD715" t="s">
        <v>74</v>
      </c>
      <c r="BE715" t="s">
        <v>10973</v>
      </c>
      <c r="BF715" t="str">
        <f>HYPERLINK("http://dx.doi.org/10.1016/j.chemgeo.2005.09.024","http://dx.doi.org/10.1016/j.chemgeo.2005.09.024")</f>
        <v>http://dx.doi.org/10.1016/j.chemgeo.2005.09.024</v>
      </c>
      <c r="BG715" t="s">
        <v>74</v>
      </c>
      <c r="BH715" t="s">
        <v>74</v>
      </c>
      <c r="BI715">
        <v>16</v>
      </c>
      <c r="BJ715" t="s">
        <v>608</v>
      </c>
      <c r="BK715" t="s">
        <v>97</v>
      </c>
      <c r="BL715" t="s">
        <v>608</v>
      </c>
      <c r="BM715" t="s">
        <v>10974</v>
      </c>
      <c r="BN715" t="s">
        <v>74</v>
      </c>
      <c r="BO715" t="s">
        <v>74</v>
      </c>
      <c r="BP715" t="s">
        <v>74</v>
      </c>
      <c r="BQ715" t="s">
        <v>74</v>
      </c>
      <c r="BR715" t="s">
        <v>100</v>
      </c>
      <c r="BS715" t="s">
        <v>10975</v>
      </c>
      <c r="BT715" t="str">
        <f>HYPERLINK("https%3A%2F%2Fwww.webofscience.com%2Fwos%2Fwoscc%2Ffull-record%2FWOS:000235857100012","View Full Record in Web of Science")</f>
        <v>View Full Record in Web of Science</v>
      </c>
    </row>
    <row r="716" spans="1:72" x14ac:dyDescent="0.15">
      <c r="A716" t="s">
        <v>72</v>
      </c>
      <c r="B716" t="s">
        <v>10976</v>
      </c>
      <c r="C716" t="s">
        <v>74</v>
      </c>
      <c r="D716" t="s">
        <v>74</v>
      </c>
      <c r="E716" t="s">
        <v>74</v>
      </c>
      <c r="F716" t="s">
        <v>10976</v>
      </c>
      <c r="G716" t="s">
        <v>74</v>
      </c>
      <c r="H716" t="s">
        <v>74</v>
      </c>
      <c r="I716" t="s">
        <v>10977</v>
      </c>
      <c r="J716" t="s">
        <v>10959</v>
      </c>
      <c r="K716" t="s">
        <v>74</v>
      </c>
      <c r="L716" t="s">
        <v>74</v>
      </c>
      <c r="M716" t="s">
        <v>78</v>
      </c>
      <c r="N716" t="s">
        <v>79</v>
      </c>
      <c r="O716" t="s">
        <v>74</v>
      </c>
      <c r="P716" t="s">
        <v>74</v>
      </c>
      <c r="Q716" t="s">
        <v>74</v>
      </c>
      <c r="R716" t="s">
        <v>74</v>
      </c>
      <c r="S716" t="s">
        <v>74</v>
      </c>
      <c r="T716" t="s">
        <v>10978</v>
      </c>
      <c r="U716" t="s">
        <v>10979</v>
      </c>
      <c r="V716" t="s">
        <v>10980</v>
      </c>
      <c r="W716" t="s">
        <v>10981</v>
      </c>
      <c r="X716" t="s">
        <v>10982</v>
      </c>
      <c r="Y716" t="s">
        <v>10983</v>
      </c>
      <c r="Z716" t="s">
        <v>10984</v>
      </c>
      <c r="AA716" t="s">
        <v>74</v>
      </c>
      <c r="AB716" t="s">
        <v>10985</v>
      </c>
      <c r="AC716" t="s">
        <v>74</v>
      </c>
      <c r="AD716" t="s">
        <v>74</v>
      </c>
      <c r="AE716" t="s">
        <v>74</v>
      </c>
      <c r="AF716" t="s">
        <v>74</v>
      </c>
      <c r="AG716">
        <v>39</v>
      </c>
      <c r="AH716">
        <v>24</v>
      </c>
      <c r="AI716">
        <v>30</v>
      </c>
      <c r="AJ716">
        <v>1</v>
      </c>
      <c r="AK716">
        <v>16</v>
      </c>
      <c r="AL716" t="s">
        <v>519</v>
      </c>
      <c r="AM716" t="s">
        <v>520</v>
      </c>
      <c r="AN716" t="s">
        <v>521</v>
      </c>
      <c r="AO716" t="s">
        <v>10968</v>
      </c>
      <c r="AP716" t="s">
        <v>10969</v>
      </c>
      <c r="AQ716" t="s">
        <v>74</v>
      </c>
      <c r="AR716" t="s">
        <v>10970</v>
      </c>
      <c r="AS716" t="s">
        <v>10971</v>
      </c>
      <c r="AT716" t="s">
        <v>10972</v>
      </c>
      <c r="AU716">
        <v>2006</v>
      </c>
      <c r="AV716">
        <v>226</v>
      </c>
      <c r="AW716" t="s">
        <v>1243</v>
      </c>
      <c r="AX716" t="s">
        <v>74</v>
      </c>
      <c r="AY716" t="s">
        <v>74</v>
      </c>
      <c r="AZ716" t="s">
        <v>74</v>
      </c>
      <c r="BA716" t="s">
        <v>74</v>
      </c>
      <c r="BB716">
        <v>298</v>
      </c>
      <c r="BC716">
        <v>308</v>
      </c>
      <c r="BD716" t="s">
        <v>74</v>
      </c>
      <c r="BE716" t="s">
        <v>10986</v>
      </c>
      <c r="BF716" t="str">
        <f>HYPERLINK("http://dx.doi.org/10.1016/j.chemgeo.2005.09.026","http://dx.doi.org/10.1016/j.chemgeo.2005.09.026")</f>
        <v>http://dx.doi.org/10.1016/j.chemgeo.2005.09.026</v>
      </c>
      <c r="BG716" t="s">
        <v>74</v>
      </c>
      <c r="BH716" t="s">
        <v>74</v>
      </c>
      <c r="BI716">
        <v>11</v>
      </c>
      <c r="BJ716" t="s">
        <v>608</v>
      </c>
      <c r="BK716" t="s">
        <v>97</v>
      </c>
      <c r="BL716" t="s">
        <v>608</v>
      </c>
      <c r="BM716" t="s">
        <v>10974</v>
      </c>
      <c r="BN716" t="s">
        <v>74</v>
      </c>
      <c r="BO716" t="s">
        <v>74</v>
      </c>
      <c r="BP716" t="s">
        <v>74</v>
      </c>
      <c r="BQ716" t="s">
        <v>74</v>
      </c>
      <c r="BR716" t="s">
        <v>100</v>
      </c>
      <c r="BS716" t="s">
        <v>10987</v>
      </c>
      <c r="BT716" t="str">
        <f>HYPERLINK("https%3A%2F%2Fwww.webofscience.com%2Fwos%2Fwoscc%2Ffull-record%2FWOS:000235857100014","View Full Record in Web of Science")</f>
        <v>View Full Record in Web of Science</v>
      </c>
    </row>
    <row r="717" spans="1:72" x14ac:dyDescent="0.15">
      <c r="A717" t="s">
        <v>72</v>
      </c>
      <c r="B717" t="s">
        <v>10988</v>
      </c>
      <c r="C717" t="s">
        <v>74</v>
      </c>
      <c r="D717" t="s">
        <v>74</v>
      </c>
      <c r="E717" t="s">
        <v>74</v>
      </c>
      <c r="F717" t="s">
        <v>10988</v>
      </c>
      <c r="G717" t="s">
        <v>74</v>
      </c>
      <c r="H717" t="s">
        <v>74</v>
      </c>
      <c r="I717" t="s">
        <v>10989</v>
      </c>
      <c r="J717" t="s">
        <v>3745</v>
      </c>
      <c r="K717" t="s">
        <v>74</v>
      </c>
      <c r="L717" t="s">
        <v>74</v>
      </c>
      <c r="M717" t="s">
        <v>78</v>
      </c>
      <c r="N717" t="s">
        <v>79</v>
      </c>
      <c r="O717" t="s">
        <v>74</v>
      </c>
      <c r="P717" t="s">
        <v>74</v>
      </c>
      <c r="Q717" t="s">
        <v>74</v>
      </c>
      <c r="R717" t="s">
        <v>74</v>
      </c>
      <c r="S717" t="s">
        <v>74</v>
      </c>
      <c r="T717" t="s">
        <v>10990</v>
      </c>
      <c r="U717" t="s">
        <v>10991</v>
      </c>
      <c r="V717" t="s">
        <v>10992</v>
      </c>
      <c r="W717" t="s">
        <v>10993</v>
      </c>
      <c r="X717" t="s">
        <v>3553</v>
      </c>
      <c r="Y717" t="s">
        <v>10994</v>
      </c>
      <c r="Z717" t="s">
        <v>10995</v>
      </c>
      <c r="AA717" t="s">
        <v>10996</v>
      </c>
      <c r="AB717" t="s">
        <v>10997</v>
      </c>
      <c r="AC717" t="s">
        <v>9486</v>
      </c>
      <c r="AD717" t="s">
        <v>413</v>
      </c>
      <c r="AE717" t="s">
        <v>74</v>
      </c>
      <c r="AF717" t="s">
        <v>74</v>
      </c>
      <c r="AG717">
        <v>43</v>
      </c>
      <c r="AH717">
        <v>113</v>
      </c>
      <c r="AI717">
        <v>122</v>
      </c>
      <c r="AJ717">
        <v>1</v>
      </c>
      <c r="AK717">
        <v>22</v>
      </c>
      <c r="AL717" t="s">
        <v>519</v>
      </c>
      <c r="AM717" t="s">
        <v>520</v>
      </c>
      <c r="AN717" t="s">
        <v>521</v>
      </c>
      <c r="AO717" t="s">
        <v>3753</v>
      </c>
      <c r="AP717" t="s">
        <v>3754</v>
      </c>
      <c r="AQ717" t="s">
        <v>74</v>
      </c>
      <c r="AR717" t="s">
        <v>3755</v>
      </c>
      <c r="AS717" t="s">
        <v>3756</v>
      </c>
      <c r="AT717" t="s">
        <v>10972</v>
      </c>
      <c r="AU717">
        <v>2006</v>
      </c>
      <c r="AV717">
        <v>242</v>
      </c>
      <c r="AW717" t="s">
        <v>1243</v>
      </c>
      <c r="AX717" t="s">
        <v>74</v>
      </c>
      <c r="AY717" t="s">
        <v>74</v>
      </c>
      <c r="AZ717" t="s">
        <v>74</v>
      </c>
      <c r="BA717" t="s">
        <v>74</v>
      </c>
      <c r="BB717">
        <v>343</v>
      </c>
      <c r="BC717">
        <v>353</v>
      </c>
      <c r="BD717" t="s">
        <v>74</v>
      </c>
      <c r="BE717" t="s">
        <v>10998</v>
      </c>
      <c r="BF717" t="str">
        <f>HYPERLINK("http://dx.doi.org/10.1016/j.epsl.2005.11.060","http://dx.doi.org/10.1016/j.epsl.2005.11.060")</f>
        <v>http://dx.doi.org/10.1016/j.epsl.2005.11.060</v>
      </c>
      <c r="BG717" t="s">
        <v>74</v>
      </c>
      <c r="BH717" t="s">
        <v>74</v>
      </c>
      <c r="BI717">
        <v>11</v>
      </c>
      <c r="BJ717" t="s">
        <v>608</v>
      </c>
      <c r="BK717" t="s">
        <v>97</v>
      </c>
      <c r="BL717" t="s">
        <v>608</v>
      </c>
      <c r="BM717" t="s">
        <v>10999</v>
      </c>
      <c r="BN717" t="s">
        <v>74</v>
      </c>
      <c r="BO717" t="s">
        <v>74</v>
      </c>
      <c r="BP717" t="s">
        <v>74</v>
      </c>
      <c r="BQ717" t="s">
        <v>74</v>
      </c>
      <c r="BR717" t="s">
        <v>100</v>
      </c>
      <c r="BS717" t="s">
        <v>11000</v>
      </c>
      <c r="BT717" t="str">
        <f>HYPERLINK("https%3A%2F%2Fwww.webofscience.com%2Fwos%2Fwoscc%2Ffull-record%2FWOS:000235855100008","View Full Record in Web of Science")</f>
        <v>View Full Record in Web of Science</v>
      </c>
    </row>
    <row r="718" spans="1:72" x14ac:dyDescent="0.15">
      <c r="A718" t="s">
        <v>72</v>
      </c>
      <c r="B718" t="s">
        <v>11001</v>
      </c>
      <c r="C718" t="s">
        <v>74</v>
      </c>
      <c r="D718" t="s">
        <v>74</v>
      </c>
      <c r="E718" t="s">
        <v>74</v>
      </c>
      <c r="F718" t="s">
        <v>11001</v>
      </c>
      <c r="G718" t="s">
        <v>74</v>
      </c>
      <c r="H718" t="s">
        <v>74</v>
      </c>
      <c r="I718" t="s">
        <v>11002</v>
      </c>
      <c r="J718" t="s">
        <v>1748</v>
      </c>
      <c r="K718" t="s">
        <v>74</v>
      </c>
      <c r="L718" t="s">
        <v>74</v>
      </c>
      <c r="M718" t="s">
        <v>78</v>
      </c>
      <c r="N718" t="s">
        <v>79</v>
      </c>
      <c r="O718" t="s">
        <v>74</v>
      </c>
      <c r="P718" t="s">
        <v>74</v>
      </c>
      <c r="Q718" t="s">
        <v>74</v>
      </c>
      <c r="R718" t="s">
        <v>74</v>
      </c>
      <c r="S718" t="s">
        <v>74</v>
      </c>
      <c r="T718" t="s">
        <v>74</v>
      </c>
      <c r="U718" t="s">
        <v>74</v>
      </c>
      <c r="V718" t="s">
        <v>11003</v>
      </c>
      <c r="W718" t="s">
        <v>11004</v>
      </c>
      <c r="X718" t="s">
        <v>11005</v>
      </c>
      <c r="Y718" t="s">
        <v>11006</v>
      </c>
      <c r="Z718" t="s">
        <v>11007</v>
      </c>
      <c r="AA718" t="s">
        <v>74</v>
      </c>
      <c r="AB718" t="s">
        <v>74</v>
      </c>
      <c r="AC718" t="s">
        <v>74</v>
      </c>
      <c r="AD718" t="s">
        <v>74</v>
      </c>
      <c r="AE718" t="s">
        <v>74</v>
      </c>
      <c r="AF718" t="s">
        <v>74</v>
      </c>
      <c r="AG718">
        <v>13</v>
      </c>
      <c r="AH718">
        <v>27</v>
      </c>
      <c r="AI718">
        <v>29</v>
      </c>
      <c r="AJ718">
        <v>0</v>
      </c>
      <c r="AK718">
        <v>4</v>
      </c>
      <c r="AL718" t="s">
        <v>1757</v>
      </c>
      <c r="AM718" t="s">
        <v>88</v>
      </c>
      <c r="AN718" t="s">
        <v>1758</v>
      </c>
      <c r="AO718" t="s">
        <v>1759</v>
      </c>
      <c r="AP718" t="s">
        <v>1760</v>
      </c>
      <c r="AQ718" t="s">
        <v>74</v>
      </c>
      <c r="AR718" t="s">
        <v>1761</v>
      </c>
      <c r="AS718" t="s">
        <v>1762</v>
      </c>
      <c r="AT718" t="s">
        <v>11008</v>
      </c>
      <c r="AU718">
        <v>2006</v>
      </c>
      <c r="AV718">
        <v>33</v>
      </c>
      <c r="AW718">
        <v>4</v>
      </c>
      <c r="AX718" t="s">
        <v>74</v>
      </c>
      <c r="AY718" t="s">
        <v>74</v>
      </c>
      <c r="AZ718" t="s">
        <v>74</v>
      </c>
      <c r="BA718" t="s">
        <v>74</v>
      </c>
      <c r="BB718" t="s">
        <v>74</v>
      </c>
      <c r="BC718" t="s">
        <v>74</v>
      </c>
      <c r="BD718" t="s">
        <v>11009</v>
      </c>
      <c r="BE718" t="s">
        <v>11010</v>
      </c>
      <c r="BF718" t="str">
        <f>HYPERLINK("http://dx.doi.org/10.1029/2005GL024919","http://dx.doi.org/10.1029/2005GL024919")</f>
        <v>http://dx.doi.org/10.1029/2005GL024919</v>
      </c>
      <c r="BG718" t="s">
        <v>74</v>
      </c>
      <c r="BH718" t="s">
        <v>74</v>
      </c>
      <c r="BI718">
        <v>4</v>
      </c>
      <c r="BJ718" t="s">
        <v>527</v>
      </c>
      <c r="BK718" t="s">
        <v>97</v>
      </c>
      <c r="BL718" t="s">
        <v>528</v>
      </c>
      <c r="BM718" t="s">
        <v>11011</v>
      </c>
      <c r="BN718" t="s">
        <v>74</v>
      </c>
      <c r="BO718" t="s">
        <v>460</v>
      </c>
      <c r="BP718" t="s">
        <v>74</v>
      </c>
      <c r="BQ718" t="s">
        <v>74</v>
      </c>
      <c r="BR718" t="s">
        <v>100</v>
      </c>
      <c r="BS718" t="s">
        <v>11012</v>
      </c>
      <c r="BT718" t="str">
        <f>HYPERLINK("https%3A%2F%2Fwww.webofscience.com%2Fwos%2Fwoscc%2Ffull-record%2FWOS:000235965900002","View Full Record in Web of Science")</f>
        <v>View Full Record in Web of Science</v>
      </c>
    </row>
    <row r="719" spans="1:72" x14ac:dyDescent="0.15">
      <c r="A719" t="s">
        <v>72</v>
      </c>
      <c r="B719" t="s">
        <v>11013</v>
      </c>
      <c r="C719" t="s">
        <v>74</v>
      </c>
      <c r="D719" t="s">
        <v>74</v>
      </c>
      <c r="E719" t="s">
        <v>74</v>
      </c>
      <c r="F719" t="s">
        <v>11013</v>
      </c>
      <c r="G719" t="s">
        <v>74</v>
      </c>
      <c r="H719" t="s">
        <v>74</v>
      </c>
      <c r="I719" t="s">
        <v>11014</v>
      </c>
      <c r="J719" t="s">
        <v>1772</v>
      </c>
      <c r="K719" t="s">
        <v>74</v>
      </c>
      <c r="L719" t="s">
        <v>74</v>
      </c>
      <c r="M719" t="s">
        <v>78</v>
      </c>
      <c r="N719" t="s">
        <v>79</v>
      </c>
      <c r="O719" t="s">
        <v>74</v>
      </c>
      <c r="P719" t="s">
        <v>74</v>
      </c>
      <c r="Q719" t="s">
        <v>74</v>
      </c>
      <c r="R719" t="s">
        <v>74</v>
      </c>
      <c r="S719" t="s">
        <v>74</v>
      </c>
      <c r="T719" t="s">
        <v>74</v>
      </c>
      <c r="U719" t="s">
        <v>11015</v>
      </c>
      <c r="V719" t="s">
        <v>11016</v>
      </c>
      <c r="W719" t="s">
        <v>9363</v>
      </c>
      <c r="X719" t="s">
        <v>7992</v>
      </c>
      <c r="Y719" t="s">
        <v>10994</v>
      </c>
      <c r="Z719" t="s">
        <v>11017</v>
      </c>
      <c r="AA719" t="s">
        <v>11018</v>
      </c>
      <c r="AB719" t="s">
        <v>11019</v>
      </c>
      <c r="AC719" t="s">
        <v>74</v>
      </c>
      <c r="AD719" t="s">
        <v>74</v>
      </c>
      <c r="AE719" t="s">
        <v>74</v>
      </c>
      <c r="AF719" t="s">
        <v>74</v>
      </c>
      <c r="AG719">
        <v>58</v>
      </c>
      <c r="AH719">
        <v>16</v>
      </c>
      <c r="AI719">
        <v>16</v>
      </c>
      <c r="AJ719">
        <v>0</v>
      </c>
      <c r="AK719">
        <v>2</v>
      </c>
      <c r="AL719" t="s">
        <v>1757</v>
      </c>
      <c r="AM719" t="s">
        <v>88</v>
      </c>
      <c r="AN719" t="s">
        <v>1758</v>
      </c>
      <c r="AO719" t="s">
        <v>1779</v>
      </c>
      <c r="AP719" t="s">
        <v>1780</v>
      </c>
      <c r="AQ719" t="s">
        <v>74</v>
      </c>
      <c r="AR719" t="s">
        <v>1781</v>
      </c>
      <c r="AS719" t="s">
        <v>1782</v>
      </c>
      <c r="AT719" t="s">
        <v>11008</v>
      </c>
      <c r="AU719">
        <v>2006</v>
      </c>
      <c r="AV719">
        <v>111</v>
      </c>
      <c r="AW719" t="s">
        <v>11020</v>
      </c>
      <c r="AX719" t="s">
        <v>74</v>
      </c>
      <c r="AY719" t="s">
        <v>74</v>
      </c>
      <c r="AZ719" t="s">
        <v>74</v>
      </c>
      <c r="BA719" t="s">
        <v>74</v>
      </c>
      <c r="BB719" t="s">
        <v>74</v>
      </c>
      <c r="BC719" t="s">
        <v>74</v>
      </c>
      <c r="BD719" t="s">
        <v>11021</v>
      </c>
      <c r="BE719" t="s">
        <v>11022</v>
      </c>
      <c r="BF719" t="str">
        <f>HYPERLINK("http://dx.doi.org/10.1029/2005JD005872","http://dx.doi.org/10.1029/2005JD005872")</f>
        <v>http://dx.doi.org/10.1029/2005JD005872</v>
      </c>
      <c r="BG719" t="s">
        <v>74</v>
      </c>
      <c r="BH719" t="s">
        <v>74</v>
      </c>
      <c r="BI719">
        <v>11</v>
      </c>
      <c r="BJ719" t="s">
        <v>869</v>
      </c>
      <c r="BK719" t="s">
        <v>97</v>
      </c>
      <c r="BL719" t="s">
        <v>869</v>
      </c>
      <c r="BM719" t="s">
        <v>11023</v>
      </c>
      <c r="BN719" t="s">
        <v>74</v>
      </c>
      <c r="BO719" t="s">
        <v>1767</v>
      </c>
      <c r="BP719" t="s">
        <v>74</v>
      </c>
      <c r="BQ719" t="s">
        <v>74</v>
      </c>
      <c r="BR719" t="s">
        <v>100</v>
      </c>
      <c r="BS719" t="s">
        <v>11024</v>
      </c>
      <c r="BT719" t="str">
        <f>HYPERLINK("https%3A%2F%2Fwww.webofscience.com%2Fwos%2Fwoscc%2Ffull-record%2FWOS:000235966800001","View Full Record in Web of Science")</f>
        <v>View Full Record in Web of Science</v>
      </c>
    </row>
    <row r="720" spans="1:72" x14ac:dyDescent="0.15">
      <c r="A720" t="s">
        <v>72</v>
      </c>
      <c r="B720" t="s">
        <v>11025</v>
      </c>
      <c r="C720" t="s">
        <v>74</v>
      </c>
      <c r="D720" t="s">
        <v>74</v>
      </c>
      <c r="E720" t="s">
        <v>74</v>
      </c>
      <c r="F720" t="s">
        <v>11025</v>
      </c>
      <c r="G720" t="s">
        <v>74</v>
      </c>
      <c r="H720" t="s">
        <v>74</v>
      </c>
      <c r="I720" t="s">
        <v>11026</v>
      </c>
      <c r="J720" t="s">
        <v>11027</v>
      </c>
      <c r="K720" t="s">
        <v>74</v>
      </c>
      <c r="L720" t="s">
        <v>74</v>
      </c>
      <c r="M720" t="s">
        <v>78</v>
      </c>
      <c r="N720" t="s">
        <v>79</v>
      </c>
      <c r="O720" t="s">
        <v>74</v>
      </c>
      <c r="P720" t="s">
        <v>74</v>
      </c>
      <c r="Q720" t="s">
        <v>74</v>
      </c>
      <c r="R720" t="s">
        <v>74</v>
      </c>
      <c r="S720" t="s">
        <v>74</v>
      </c>
      <c r="T720" t="s">
        <v>74</v>
      </c>
      <c r="U720" t="s">
        <v>11028</v>
      </c>
      <c r="V720" t="s">
        <v>11029</v>
      </c>
      <c r="W720" t="s">
        <v>11030</v>
      </c>
      <c r="X720" t="s">
        <v>11031</v>
      </c>
      <c r="Y720" t="s">
        <v>11032</v>
      </c>
      <c r="Z720" t="s">
        <v>11033</v>
      </c>
      <c r="AA720" t="s">
        <v>74</v>
      </c>
      <c r="AB720" t="s">
        <v>74</v>
      </c>
      <c r="AC720" t="s">
        <v>74</v>
      </c>
      <c r="AD720" t="s">
        <v>74</v>
      </c>
      <c r="AE720" t="s">
        <v>74</v>
      </c>
      <c r="AF720" t="s">
        <v>74</v>
      </c>
      <c r="AG720">
        <v>47</v>
      </c>
      <c r="AH720">
        <v>34</v>
      </c>
      <c r="AI720">
        <v>40</v>
      </c>
      <c r="AJ720">
        <v>0</v>
      </c>
      <c r="AK720">
        <v>36</v>
      </c>
      <c r="AL720" t="s">
        <v>6146</v>
      </c>
      <c r="AM720" t="s">
        <v>88</v>
      </c>
      <c r="AN720" t="s">
        <v>6147</v>
      </c>
      <c r="AO720" t="s">
        <v>11034</v>
      </c>
      <c r="AP720" t="s">
        <v>11035</v>
      </c>
      <c r="AQ720" t="s">
        <v>74</v>
      </c>
      <c r="AR720" t="s">
        <v>11036</v>
      </c>
      <c r="AS720" t="s">
        <v>11037</v>
      </c>
      <c r="AT720" t="s">
        <v>11038</v>
      </c>
      <c r="AU720">
        <v>2006</v>
      </c>
      <c r="AV720">
        <v>110</v>
      </c>
      <c r="AW720">
        <v>7</v>
      </c>
      <c r="AX720" t="s">
        <v>74</v>
      </c>
      <c r="AY720" t="s">
        <v>74</v>
      </c>
      <c r="AZ720" t="s">
        <v>74</v>
      </c>
      <c r="BA720" t="s">
        <v>74</v>
      </c>
      <c r="BB720">
        <v>2571</v>
      </c>
      <c r="BC720">
        <v>2578</v>
      </c>
      <c r="BD720" t="s">
        <v>74</v>
      </c>
      <c r="BE720" t="s">
        <v>11039</v>
      </c>
      <c r="BF720" t="str">
        <f>HYPERLINK("http://dx.doi.org/10.1021/jp056280s","http://dx.doi.org/10.1021/jp056280s")</f>
        <v>http://dx.doi.org/10.1021/jp056280s</v>
      </c>
      <c r="BG720" t="s">
        <v>74</v>
      </c>
      <c r="BH720" t="s">
        <v>74</v>
      </c>
      <c r="BI720">
        <v>8</v>
      </c>
      <c r="BJ720" t="s">
        <v>7918</v>
      </c>
      <c r="BK720" t="s">
        <v>97</v>
      </c>
      <c r="BL720" t="s">
        <v>7919</v>
      </c>
      <c r="BM720" t="s">
        <v>11040</v>
      </c>
      <c r="BN720">
        <v>16480318</v>
      </c>
      <c r="BO720" t="s">
        <v>74</v>
      </c>
      <c r="BP720" t="s">
        <v>74</v>
      </c>
      <c r="BQ720" t="s">
        <v>74</v>
      </c>
      <c r="BR720" t="s">
        <v>100</v>
      </c>
      <c r="BS720" t="s">
        <v>11041</v>
      </c>
      <c r="BT720" t="str">
        <f>HYPERLINK("https%3A%2F%2Fwww.webofscience.com%2Fwos%2Fwoscc%2Ffull-record%2FWOS:000235560700032","View Full Record in Web of Science")</f>
        <v>View Full Record in Web of Science</v>
      </c>
    </row>
    <row r="721" spans="1:72" x14ac:dyDescent="0.15">
      <c r="A721" t="s">
        <v>72</v>
      </c>
      <c r="B721" t="s">
        <v>11042</v>
      </c>
      <c r="C721" t="s">
        <v>74</v>
      </c>
      <c r="D721" t="s">
        <v>74</v>
      </c>
      <c r="E721" t="s">
        <v>74</v>
      </c>
      <c r="F721" t="s">
        <v>11042</v>
      </c>
      <c r="G721" t="s">
        <v>74</v>
      </c>
      <c r="H721" t="s">
        <v>74</v>
      </c>
      <c r="I721" t="s">
        <v>11043</v>
      </c>
      <c r="J721" t="s">
        <v>4106</v>
      </c>
      <c r="K721" t="s">
        <v>74</v>
      </c>
      <c r="L721" t="s">
        <v>74</v>
      </c>
      <c r="M721" t="s">
        <v>78</v>
      </c>
      <c r="N721" t="s">
        <v>79</v>
      </c>
      <c r="O721" t="s">
        <v>74</v>
      </c>
      <c r="P721" t="s">
        <v>74</v>
      </c>
      <c r="Q721" t="s">
        <v>74</v>
      </c>
      <c r="R721" t="s">
        <v>74</v>
      </c>
      <c r="S721" t="s">
        <v>74</v>
      </c>
      <c r="T721" t="s">
        <v>74</v>
      </c>
      <c r="U721" t="s">
        <v>11044</v>
      </c>
      <c r="V721" t="s">
        <v>11045</v>
      </c>
      <c r="W721" t="s">
        <v>11046</v>
      </c>
      <c r="X721" t="s">
        <v>11047</v>
      </c>
      <c r="Y721" t="s">
        <v>11048</v>
      </c>
      <c r="Z721" t="s">
        <v>11049</v>
      </c>
      <c r="AA721" t="s">
        <v>11050</v>
      </c>
      <c r="AB721" t="s">
        <v>11051</v>
      </c>
      <c r="AC721" t="s">
        <v>74</v>
      </c>
      <c r="AD721" t="s">
        <v>74</v>
      </c>
      <c r="AE721" t="s">
        <v>74</v>
      </c>
      <c r="AF721" t="s">
        <v>74</v>
      </c>
      <c r="AG721">
        <v>40</v>
      </c>
      <c r="AH721">
        <v>39</v>
      </c>
      <c r="AI721">
        <v>42</v>
      </c>
      <c r="AJ721">
        <v>1</v>
      </c>
      <c r="AK721">
        <v>17</v>
      </c>
      <c r="AL721" t="s">
        <v>1757</v>
      </c>
      <c r="AM721" t="s">
        <v>88</v>
      </c>
      <c r="AN721" t="s">
        <v>1758</v>
      </c>
      <c r="AO721" t="s">
        <v>4115</v>
      </c>
      <c r="AP721" t="s">
        <v>4116</v>
      </c>
      <c r="AQ721" t="s">
        <v>74</v>
      </c>
      <c r="AR721" t="s">
        <v>4117</v>
      </c>
      <c r="AS721" t="s">
        <v>4118</v>
      </c>
      <c r="AT721" t="s">
        <v>11052</v>
      </c>
      <c r="AU721">
        <v>2006</v>
      </c>
      <c r="AV721">
        <v>111</v>
      </c>
      <c r="AW721" t="s">
        <v>9305</v>
      </c>
      <c r="AX721" t="s">
        <v>74</v>
      </c>
      <c r="AY721" t="s">
        <v>74</v>
      </c>
      <c r="AZ721" t="s">
        <v>74</v>
      </c>
      <c r="BA721" t="s">
        <v>74</v>
      </c>
      <c r="BB721" t="s">
        <v>74</v>
      </c>
      <c r="BC721" t="s">
        <v>74</v>
      </c>
      <c r="BD721" t="s">
        <v>11053</v>
      </c>
      <c r="BE721" t="s">
        <v>11054</v>
      </c>
      <c r="BF721" t="str">
        <f>HYPERLINK("http://dx.doi.org/10.1029/2005JF000326","http://dx.doi.org/10.1029/2005JF000326")</f>
        <v>http://dx.doi.org/10.1029/2005JF000326</v>
      </c>
      <c r="BG721" t="s">
        <v>74</v>
      </c>
      <c r="BH721" t="s">
        <v>74</v>
      </c>
      <c r="BI721">
        <v>15</v>
      </c>
      <c r="BJ721" t="s">
        <v>527</v>
      </c>
      <c r="BK721" t="s">
        <v>97</v>
      </c>
      <c r="BL721" t="s">
        <v>528</v>
      </c>
      <c r="BM721" t="s">
        <v>11055</v>
      </c>
      <c r="BN721" t="s">
        <v>74</v>
      </c>
      <c r="BO721" t="s">
        <v>460</v>
      </c>
      <c r="BP721" t="s">
        <v>74</v>
      </c>
      <c r="BQ721" t="s">
        <v>74</v>
      </c>
      <c r="BR721" t="s">
        <v>100</v>
      </c>
      <c r="BS721" t="s">
        <v>11056</v>
      </c>
      <c r="BT721" t="str">
        <f>HYPERLINK("https%3A%2F%2Fwww.webofscience.com%2Fwos%2Fwoscc%2Ffull-record%2FWOS:000235967200001","View Full Record in Web of Science")</f>
        <v>View Full Record in Web of Science</v>
      </c>
    </row>
    <row r="722" spans="1:72" x14ac:dyDescent="0.15">
      <c r="A722" t="s">
        <v>72</v>
      </c>
      <c r="B722" t="s">
        <v>11057</v>
      </c>
      <c r="C722" t="s">
        <v>74</v>
      </c>
      <c r="D722" t="s">
        <v>74</v>
      </c>
      <c r="E722" t="s">
        <v>74</v>
      </c>
      <c r="F722" t="s">
        <v>11057</v>
      </c>
      <c r="G722" t="s">
        <v>74</v>
      </c>
      <c r="H722" t="s">
        <v>74</v>
      </c>
      <c r="I722" t="s">
        <v>11058</v>
      </c>
      <c r="J722" t="s">
        <v>4250</v>
      </c>
      <c r="K722" t="s">
        <v>74</v>
      </c>
      <c r="L722" t="s">
        <v>74</v>
      </c>
      <c r="M722" t="s">
        <v>78</v>
      </c>
      <c r="N722" t="s">
        <v>79</v>
      </c>
      <c r="O722" t="s">
        <v>74</v>
      </c>
      <c r="P722" t="s">
        <v>74</v>
      </c>
      <c r="Q722" t="s">
        <v>74</v>
      </c>
      <c r="R722" t="s">
        <v>74</v>
      </c>
      <c r="S722" t="s">
        <v>74</v>
      </c>
      <c r="T722" t="s">
        <v>74</v>
      </c>
      <c r="U722" t="s">
        <v>11059</v>
      </c>
      <c r="V722" t="s">
        <v>11060</v>
      </c>
      <c r="W722" t="s">
        <v>11061</v>
      </c>
      <c r="X722" t="s">
        <v>11062</v>
      </c>
      <c r="Y722" t="s">
        <v>11063</v>
      </c>
      <c r="Z722" t="s">
        <v>11064</v>
      </c>
      <c r="AA722" t="s">
        <v>74</v>
      </c>
      <c r="AB722" t="s">
        <v>74</v>
      </c>
      <c r="AC722" t="s">
        <v>74</v>
      </c>
      <c r="AD722" t="s">
        <v>74</v>
      </c>
      <c r="AE722" t="s">
        <v>74</v>
      </c>
      <c r="AF722" t="s">
        <v>74</v>
      </c>
      <c r="AG722">
        <v>32</v>
      </c>
      <c r="AH722">
        <v>19</v>
      </c>
      <c r="AI722">
        <v>19</v>
      </c>
      <c r="AJ722">
        <v>1</v>
      </c>
      <c r="AK722">
        <v>6</v>
      </c>
      <c r="AL722" t="s">
        <v>1757</v>
      </c>
      <c r="AM722" t="s">
        <v>88</v>
      </c>
      <c r="AN722" t="s">
        <v>1758</v>
      </c>
      <c r="AO722" t="s">
        <v>4258</v>
      </c>
      <c r="AP722" t="s">
        <v>4259</v>
      </c>
      <c r="AQ722" t="s">
        <v>74</v>
      </c>
      <c r="AR722" t="s">
        <v>4260</v>
      </c>
      <c r="AS722" t="s">
        <v>4261</v>
      </c>
      <c r="AT722" t="s">
        <v>11052</v>
      </c>
      <c r="AU722">
        <v>2006</v>
      </c>
      <c r="AV722">
        <v>111</v>
      </c>
      <c r="AW722" t="s">
        <v>10765</v>
      </c>
      <c r="AX722" t="s">
        <v>74</v>
      </c>
      <c r="AY722" t="s">
        <v>74</v>
      </c>
      <c r="AZ722" t="s">
        <v>74</v>
      </c>
      <c r="BA722" t="s">
        <v>74</v>
      </c>
      <c r="BB722" t="s">
        <v>74</v>
      </c>
      <c r="BC722" t="s">
        <v>74</v>
      </c>
      <c r="BD722" t="s">
        <v>11065</v>
      </c>
      <c r="BE722" t="s">
        <v>11066</v>
      </c>
      <c r="BF722" t="str">
        <f>HYPERLINK("http://dx.doi.org/10.1029/2004JB003609","http://dx.doi.org/10.1029/2004JB003609")</f>
        <v>http://dx.doi.org/10.1029/2004JB003609</v>
      </c>
      <c r="BG722" t="s">
        <v>74</v>
      </c>
      <c r="BH722" t="s">
        <v>74</v>
      </c>
      <c r="BI722">
        <v>18</v>
      </c>
      <c r="BJ722" t="s">
        <v>608</v>
      </c>
      <c r="BK722" t="s">
        <v>97</v>
      </c>
      <c r="BL722" t="s">
        <v>608</v>
      </c>
      <c r="BM722" t="s">
        <v>11067</v>
      </c>
      <c r="BN722" t="s">
        <v>74</v>
      </c>
      <c r="BO722" t="s">
        <v>460</v>
      </c>
      <c r="BP722" t="s">
        <v>74</v>
      </c>
      <c r="BQ722" t="s">
        <v>74</v>
      </c>
      <c r="BR722" t="s">
        <v>100</v>
      </c>
      <c r="BS722" t="s">
        <v>11068</v>
      </c>
      <c r="BT722" t="str">
        <f>HYPERLINK("https%3A%2F%2Fwww.webofscience.com%2Fwos%2Fwoscc%2Ffull-record%2FWOS:000235968700001","View Full Record in Web of Science")</f>
        <v>View Full Record in Web of Science</v>
      </c>
    </row>
    <row r="723" spans="1:72" x14ac:dyDescent="0.15">
      <c r="A723" t="s">
        <v>72</v>
      </c>
      <c r="B723" t="s">
        <v>11069</v>
      </c>
      <c r="C723" t="s">
        <v>74</v>
      </c>
      <c r="D723" t="s">
        <v>74</v>
      </c>
      <c r="E723" t="s">
        <v>74</v>
      </c>
      <c r="F723" t="s">
        <v>11069</v>
      </c>
      <c r="G723" t="s">
        <v>74</v>
      </c>
      <c r="H723" t="s">
        <v>74</v>
      </c>
      <c r="I723" t="s">
        <v>11070</v>
      </c>
      <c r="J723" t="s">
        <v>1884</v>
      </c>
      <c r="K723" t="s">
        <v>74</v>
      </c>
      <c r="L723" t="s">
        <v>74</v>
      </c>
      <c r="M723" t="s">
        <v>78</v>
      </c>
      <c r="N723" t="s">
        <v>79</v>
      </c>
      <c r="O723" t="s">
        <v>74</v>
      </c>
      <c r="P723" t="s">
        <v>74</v>
      </c>
      <c r="Q723" t="s">
        <v>74</v>
      </c>
      <c r="R723" t="s">
        <v>74</v>
      </c>
      <c r="S723" t="s">
        <v>74</v>
      </c>
      <c r="T723" t="s">
        <v>74</v>
      </c>
      <c r="U723" t="s">
        <v>11071</v>
      </c>
      <c r="V723" t="s">
        <v>11072</v>
      </c>
      <c r="W723" t="s">
        <v>11073</v>
      </c>
      <c r="X723" t="s">
        <v>11074</v>
      </c>
      <c r="Y723" t="s">
        <v>11075</v>
      </c>
      <c r="Z723" t="s">
        <v>11076</v>
      </c>
      <c r="AA723" t="s">
        <v>11077</v>
      </c>
      <c r="AB723" t="s">
        <v>11078</v>
      </c>
      <c r="AC723" t="s">
        <v>74</v>
      </c>
      <c r="AD723" t="s">
        <v>74</v>
      </c>
      <c r="AE723" t="s">
        <v>74</v>
      </c>
      <c r="AF723" t="s">
        <v>74</v>
      </c>
      <c r="AG723">
        <v>39</v>
      </c>
      <c r="AH723">
        <v>11</v>
      </c>
      <c r="AI723">
        <v>12</v>
      </c>
      <c r="AJ723">
        <v>0</v>
      </c>
      <c r="AK723">
        <v>4</v>
      </c>
      <c r="AL723" t="s">
        <v>1893</v>
      </c>
      <c r="AM723" t="s">
        <v>1894</v>
      </c>
      <c r="AN723" t="s">
        <v>1895</v>
      </c>
      <c r="AO723" t="s">
        <v>1896</v>
      </c>
      <c r="AP723" t="s">
        <v>1897</v>
      </c>
      <c r="AQ723" t="s">
        <v>74</v>
      </c>
      <c r="AR723" t="s">
        <v>1898</v>
      </c>
      <c r="AS723" t="s">
        <v>1899</v>
      </c>
      <c r="AT723" t="s">
        <v>11079</v>
      </c>
      <c r="AU723">
        <v>2006</v>
      </c>
      <c r="AV723">
        <v>6</v>
      </c>
      <c r="AW723" t="s">
        <v>74</v>
      </c>
      <c r="AX723" t="s">
        <v>74</v>
      </c>
      <c r="AY723" t="s">
        <v>74</v>
      </c>
      <c r="AZ723" t="s">
        <v>74</v>
      </c>
      <c r="BA723" t="s">
        <v>74</v>
      </c>
      <c r="BB723">
        <v>525</v>
      </c>
      <c r="BC723">
        <v>537</v>
      </c>
      <c r="BD723" t="s">
        <v>74</v>
      </c>
      <c r="BE723" t="s">
        <v>11080</v>
      </c>
      <c r="BF723" t="str">
        <f>HYPERLINK("http://dx.doi.org/10.5194/acp-6-525-2006","http://dx.doi.org/10.5194/acp-6-525-2006")</f>
        <v>http://dx.doi.org/10.5194/acp-6-525-2006</v>
      </c>
      <c r="BG723" t="s">
        <v>74</v>
      </c>
      <c r="BH723" t="s">
        <v>74</v>
      </c>
      <c r="BI723">
        <v>13</v>
      </c>
      <c r="BJ723" t="s">
        <v>395</v>
      </c>
      <c r="BK723" t="s">
        <v>97</v>
      </c>
      <c r="BL723" t="s">
        <v>396</v>
      </c>
      <c r="BM723" t="s">
        <v>11081</v>
      </c>
      <c r="BN723" t="s">
        <v>74</v>
      </c>
      <c r="BO723" t="s">
        <v>4999</v>
      </c>
      <c r="BP723" t="s">
        <v>74</v>
      </c>
      <c r="BQ723" t="s">
        <v>74</v>
      </c>
      <c r="BR723" t="s">
        <v>100</v>
      </c>
      <c r="BS723" t="s">
        <v>11082</v>
      </c>
      <c r="BT723" t="str">
        <f>HYPERLINK("https%3A%2F%2Fwww.webofscience.com%2Fwos%2Fwoscc%2Ffull-record%2FWOS:000235403200001","View Full Record in Web of Science")</f>
        <v>View Full Record in Web of Science</v>
      </c>
    </row>
    <row r="724" spans="1:72" x14ac:dyDescent="0.15">
      <c r="A724" t="s">
        <v>72</v>
      </c>
      <c r="B724" t="s">
        <v>11083</v>
      </c>
      <c r="C724" t="s">
        <v>74</v>
      </c>
      <c r="D724" t="s">
        <v>74</v>
      </c>
      <c r="E724" t="s">
        <v>74</v>
      </c>
      <c r="F724" t="s">
        <v>11083</v>
      </c>
      <c r="G724" t="s">
        <v>74</v>
      </c>
      <c r="H724" t="s">
        <v>74</v>
      </c>
      <c r="I724" t="s">
        <v>11084</v>
      </c>
      <c r="J724" t="s">
        <v>1748</v>
      </c>
      <c r="K724" t="s">
        <v>74</v>
      </c>
      <c r="L724" t="s">
        <v>74</v>
      </c>
      <c r="M724" t="s">
        <v>78</v>
      </c>
      <c r="N724" t="s">
        <v>79</v>
      </c>
      <c r="O724" t="s">
        <v>74</v>
      </c>
      <c r="P724" t="s">
        <v>74</v>
      </c>
      <c r="Q724" t="s">
        <v>74</v>
      </c>
      <c r="R724" t="s">
        <v>74</v>
      </c>
      <c r="S724" t="s">
        <v>74</v>
      </c>
      <c r="T724" t="s">
        <v>74</v>
      </c>
      <c r="U724" t="s">
        <v>11085</v>
      </c>
      <c r="V724" t="s">
        <v>11086</v>
      </c>
      <c r="W724" t="s">
        <v>11087</v>
      </c>
      <c r="X724" t="s">
        <v>11088</v>
      </c>
      <c r="Y724" t="s">
        <v>11089</v>
      </c>
      <c r="Z724" t="s">
        <v>11090</v>
      </c>
      <c r="AA724" t="s">
        <v>11091</v>
      </c>
      <c r="AB724" t="s">
        <v>11092</v>
      </c>
      <c r="AC724" t="s">
        <v>5264</v>
      </c>
      <c r="AD724" t="s">
        <v>1328</v>
      </c>
      <c r="AE724" t="s">
        <v>74</v>
      </c>
      <c r="AF724" t="s">
        <v>74</v>
      </c>
      <c r="AG724">
        <v>21</v>
      </c>
      <c r="AH724">
        <v>41</v>
      </c>
      <c r="AI724">
        <v>47</v>
      </c>
      <c r="AJ724">
        <v>0</v>
      </c>
      <c r="AK724">
        <v>10</v>
      </c>
      <c r="AL724" t="s">
        <v>1757</v>
      </c>
      <c r="AM724" t="s">
        <v>88</v>
      </c>
      <c r="AN724" t="s">
        <v>1758</v>
      </c>
      <c r="AO724" t="s">
        <v>1759</v>
      </c>
      <c r="AP724" t="s">
        <v>1760</v>
      </c>
      <c r="AQ724" t="s">
        <v>74</v>
      </c>
      <c r="AR724" t="s">
        <v>1761</v>
      </c>
      <c r="AS724" t="s">
        <v>1762</v>
      </c>
      <c r="AT724" t="s">
        <v>11079</v>
      </c>
      <c r="AU724">
        <v>2006</v>
      </c>
      <c r="AV724">
        <v>33</v>
      </c>
      <c r="AW724">
        <v>4</v>
      </c>
      <c r="AX724" t="s">
        <v>74</v>
      </c>
      <c r="AY724" t="s">
        <v>74</v>
      </c>
      <c r="AZ724" t="s">
        <v>74</v>
      </c>
      <c r="BA724" t="s">
        <v>74</v>
      </c>
      <c r="BB724" t="s">
        <v>74</v>
      </c>
      <c r="BC724" t="s">
        <v>74</v>
      </c>
      <c r="BD724" t="s">
        <v>11093</v>
      </c>
      <c r="BE724" t="s">
        <v>11094</v>
      </c>
      <c r="BF724" t="str">
        <f>HYPERLINK("http://dx.doi.org/10.1029/2005GL025147","http://dx.doi.org/10.1029/2005GL025147")</f>
        <v>http://dx.doi.org/10.1029/2005GL025147</v>
      </c>
      <c r="BG724" t="s">
        <v>74</v>
      </c>
      <c r="BH724" t="s">
        <v>74</v>
      </c>
      <c r="BI724">
        <v>5</v>
      </c>
      <c r="BJ724" t="s">
        <v>527</v>
      </c>
      <c r="BK724" t="s">
        <v>97</v>
      </c>
      <c r="BL724" t="s">
        <v>528</v>
      </c>
      <c r="BM724" t="s">
        <v>11095</v>
      </c>
      <c r="BN724" t="s">
        <v>74</v>
      </c>
      <c r="BO724" t="s">
        <v>1767</v>
      </c>
      <c r="BP724" t="s">
        <v>74</v>
      </c>
      <c r="BQ724" t="s">
        <v>74</v>
      </c>
      <c r="BR724" t="s">
        <v>100</v>
      </c>
      <c r="BS724" t="s">
        <v>11096</v>
      </c>
      <c r="BT724" t="str">
        <f>HYPERLINK("https%3A%2F%2Fwww.webofscience.com%2Fwos%2Fwoscc%2Ffull-record%2FWOS:000235964800004","View Full Record in Web of Science")</f>
        <v>View Full Record in Web of Science</v>
      </c>
    </row>
    <row r="725" spans="1:72" x14ac:dyDescent="0.15">
      <c r="A725" t="s">
        <v>72</v>
      </c>
      <c r="B725" t="s">
        <v>11097</v>
      </c>
      <c r="C725" t="s">
        <v>74</v>
      </c>
      <c r="D725" t="s">
        <v>74</v>
      </c>
      <c r="E725" t="s">
        <v>74</v>
      </c>
      <c r="F725" t="s">
        <v>11097</v>
      </c>
      <c r="G725" t="s">
        <v>74</v>
      </c>
      <c r="H725" t="s">
        <v>74</v>
      </c>
      <c r="I725" t="s">
        <v>11098</v>
      </c>
      <c r="J725" t="s">
        <v>2470</v>
      </c>
      <c r="K725" t="s">
        <v>74</v>
      </c>
      <c r="L725" t="s">
        <v>74</v>
      </c>
      <c r="M725" t="s">
        <v>78</v>
      </c>
      <c r="N725" t="s">
        <v>79</v>
      </c>
      <c r="O725" t="s">
        <v>74</v>
      </c>
      <c r="P725" t="s">
        <v>74</v>
      </c>
      <c r="Q725" t="s">
        <v>74</v>
      </c>
      <c r="R725" t="s">
        <v>74</v>
      </c>
      <c r="S725" t="s">
        <v>74</v>
      </c>
      <c r="T725" t="s">
        <v>11099</v>
      </c>
      <c r="U725" t="s">
        <v>11100</v>
      </c>
      <c r="V725" t="s">
        <v>11101</v>
      </c>
      <c r="W725" t="s">
        <v>11102</v>
      </c>
      <c r="X725" t="s">
        <v>11103</v>
      </c>
      <c r="Y725" t="s">
        <v>11104</v>
      </c>
      <c r="Z725" t="s">
        <v>11105</v>
      </c>
      <c r="AA725" t="s">
        <v>74</v>
      </c>
      <c r="AB725" t="s">
        <v>74</v>
      </c>
      <c r="AC725" t="s">
        <v>5264</v>
      </c>
      <c r="AD725" t="s">
        <v>1328</v>
      </c>
      <c r="AE725" t="s">
        <v>74</v>
      </c>
      <c r="AF725" t="s">
        <v>74</v>
      </c>
      <c r="AG725">
        <v>27</v>
      </c>
      <c r="AH725">
        <v>22</v>
      </c>
      <c r="AI725">
        <v>25</v>
      </c>
      <c r="AJ725">
        <v>0</v>
      </c>
      <c r="AK725">
        <v>5</v>
      </c>
      <c r="AL725" t="s">
        <v>1261</v>
      </c>
      <c r="AM725" t="s">
        <v>520</v>
      </c>
      <c r="AN725" t="s">
        <v>1262</v>
      </c>
      <c r="AO725" t="s">
        <v>2478</v>
      </c>
      <c r="AP725" t="s">
        <v>2479</v>
      </c>
      <c r="AQ725" t="s">
        <v>74</v>
      </c>
      <c r="AR725" t="s">
        <v>2480</v>
      </c>
      <c r="AS725" t="s">
        <v>2481</v>
      </c>
      <c r="AT725" t="s">
        <v>11079</v>
      </c>
      <c r="AU725">
        <v>2006</v>
      </c>
      <c r="AV725">
        <v>329</v>
      </c>
      <c r="AW725">
        <v>2</v>
      </c>
      <c r="AX725" t="s">
        <v>74</v>
      </c>
      <c r="AY725" t="s">
        <v>74</v>
      </c>
      <c r="AZ725" t="s">
        <v>74</v>
      </c>
      <c r="BA725" t="s">
        <v>74</v>
      </c>
      <c r="BB725">
        <v>239</v>
      </c>
      <c r="BC725">
        <v>250</v>
      </c>
      <c r="BD725" t="s">
        <v>74</v>
      </c>
      <c r="BE725" t="s">
        <v>11106</v>
      </c>
      <c r="BF725" t="str">
        <f>HYPERLINK("http://dx.doi.org/10.1016/j.jembe.2005.09.013","http://dx.doi.org/10.1016/j.jembe.2005.09.013")</f>
        <v>http://dx.doi.org/10.1016/j.jembe.2005.09.013</v>
      </c>
      <c r="BG725" t="s">
        <v>74</v>
      </c>
      <c r="BH725" t="s">
        <v>74</v>
      </c>
      <c r="BI725">
        <v>12</v>
      </c>
      <c r="BJ725" t="s">
        <v>2483</v>
      </c>
      <c r="BK725" t="s">
        <v>97</v>
      </c>
      <c r="BL725" t="s">
        <v>1288</v>
      </c>
      <c r="BM725" t="s">
        <v>11107</v>
      </c>
      <c r="BN725" t="s">
        <v>74</v>
      </c>
      <c r="BO725" t="s">
        <v>74</v>
      </c>
      <c r="BP725" t="s">
        <v>74</v>
      </c>
      <c r="BQ725" t="s">
        <v>74</v>
      </c>
      <c r="BR725" t="s">
        <v>100</v>
      </c>
      <c r="BS725" t="s">
        <v>11108</v>
      </c>
      <c r="BT725" t="str">
        <f>HYPERLINK("https%3A%2F%2Fwww.webofscience.com%2Fwos%2Fwoscc%2Ffull-record%2FWOS:000235768000008","View Full Record in Web of Science")</f>
        <v>View Full Record in Web of Science</v>
      </c>
    </row>
    <row r="726" spans="1:72" x14ac:dyDescent="0.15">
      <c r="A726" t="s">
        <v>72</v>
      </c>
      <c r="B726" t="s">
        <v>11109</v>
      </c>
      <c r="C726" t="s">
        <v>74</v>
      </c>
      <c r="D726" t="s">
        <v>74</v>
      </c>
      <c r="E726" t="s">
        <v>74</v>
      </c>
      <c r="F726" t="s">
        <v>11109</v>
      </c>
      <c r="G726" t="s">
        <v>74</v>
      </c>
      <c r="H726" t="s">
        <v>74</v>
      </c>
      <c r="I726" t="s">
        <v>11110</v>
      </c>
      <c r="J726" t="s">
        <v>11111</v>
      </c>
      <c r="K726" t="s">
        <v>74</v>
      </c>
      <c r="L726" t="s">
        <v>74</v>
      </c>
      <c r="M726" t="s">
        <v>78</v>
      </c>
      <c r="N726" t="s">
        <v>79</v>
      </c>
      <c r="O726" t="s">
        <v>74</v>
      </c>
      <c r="P726" t="s">
        <v>74</v>
      </c>
      <c r="Q726" t="s">
        <v>74</v>
      </c>
      <c r="R726" t="s">
        <v>74</v>
      </c>
      <c r="S726" t="s">
        <v>74</v>
      </c>
      <c r="T726" t="s">
        <v>74</v>
      </c>
      <c r="U726" t="s">
        <v>11112</v>
      </c>
      <c r="V726" t="s">
        <v>11113</v>
      </c>
      <c r="W726" t="s">
        <v>74</v>
      </c>
      <c r="X726" t="s">
        <v>74</v>
      </c>
      <c r="Y726" t="s">
        <v>74</v>
      </c>
      <c r="Z726" t="s">
        <v>11114</v>
      </c>
      <c r="AA726" t="s">
        <v>11115</v>
      </c>
      <c r="AB726" t="s">
        <v>11116</v>
      </c>
      <c r="AC726" t="s">
        <v>74</v>
      </c>
      <c r="AD726" t="s">
        <v>74</v>
      </c>
      <c r="AE726" t="s">
        <v>74</v>
      </c>
      <c r="AF726" t="s">
        <v>74</v>
      </c>
      <c r="AG726">
        <v>52</v>
      </c>
      <c r="AH726">
        <v>22</v>
      </c>
      <c r="AI726">
        <v>25</v>
      </c>
      <c r="AJ726">
        <v>0</v>
      </c>
      <c r="AK726">
        <v>10</v>
      </c>
      <c r="AL726" t="s">
        <v>11117</v>
      </c>
      <c r="AM726" t="s">
        <v>5362</v>
      </c>
      <c r="AN726" t="s">
        <v>11118</v>
      </c>
      <c r="AO726" t="s">
        <v>11119</v>
      </c>
      <c r="AP726" t="s">
        <v>11120</v>
      </c>
      <c r="AQ726" t="s">
        <v>74</v>
      </c>
      <c r="AR726" t="s">
        <v>11121</v>
      </c>
      <c r="AS726" t="s">
        <v>11122</v>
      </c>
      <c r="AT726" t="s">
        <v>11079</v>
      </c>
      <c r="AU726">
        <v>2006</v>
      </c>
      <c r="AV726">
        <v>8</v>
      </c>
      <c r="AW726">
        <v>7</v>
      </c>
      <c r="AX726" t="s">
        <v>74</v>
      </c>
      <c r="AY726" t="s">
        <v>74</v>
      </c>
      <c r="AZ726" t="s">
        <v>74</v>
      </c>
      <c r="BA726" t="s">
        <v>74</v>
      </c>
      <c r="BB726">
        <v>834</v>
      </c>
      <c r="BC726">
        <v>846</v>
      </c>
      <c r="BD726" t="s">
        <v>74</v>
      </c>
      <c r="BE726" t="s">
        <v>11123</v>
      </c>
      <c r="BF726" t="str">
        <f>HYPERLINK("http://dx.doi.org/10.1039/b512702e","http://dx.doi.org/10.1039/b512702e")</f>
        <v>http://dx.doi.org/10.1039/b512702e</v>
      </c>
      <c r="BG726" t="s">
        <v>74</v>
      </c>
      <c r="BH726" t="s">
        <v>74</v>
      </c>
      <c r="BI726">
        <v>13</v>
      </c>
      <c r="BJ726" t="s">
        <v>7918</v>
      </c>
      <c r="BK726" t="s">
        <v>97</v>
      </c>
      <c r="BL726" t="s">
        <v>7919</v>
      </c>
      <c r="BM726" t="s">
        <v>11124</v>
      </c>
      <c r="BN726">
        <v>16482325</v>
      </c>
      <c r="BO726" t="s">
        <v>74</v>
      </c>
      <c r="BP726" t="s">
        <v>74</v>
      </c>
      <c r="BQ726" t="s">
        <v>74</v>
      </c>
      <c r="BR726" t="s">
        <v>100</v>
      </c>
      <c r="BS726" t="s">
        <v>11125</v>
      </c>
      <c r="BT726" t="str">
        <f>HYPERLINK("https%3A%2F%2Fwww.webofscience.com%2Fwos%2Fwoscc%2Ffull-record%2FWOS:000235811100006","View Full Record in Web of Science")</f>
        <v>View Full Record in Web of Science</v>
      </c>
    </row>
    <row r="727" spans="1:72" x14ac:dyDescent="0.15">
      <c r="A727" t="s">
        <v>72</v>
      </c>
      <c r="B727" t="s">
        <v>11126</v>
      </c>
      <c r="C727" t="s">
        <v>74</v>
      </c>
      <c r="D727" t="s">
        <v>74</v>
      </c>
      <c r="E727" t="s">
        <v>74</v>
      </c>
      <c r="F727" t="s">
        <v>11126</v>
      </c>
      <c r="G727" t="s">
        <v>74</v>
      </c>
      <c r="H727" t="s">
        <v>74</v>
      </c>
      <c r="I727" t="s">
        <v>11127</v>
      </c>
      <c r="J727" t="s">
        <v>1748</v>
      </c>
      <c r="K727" t="s">
        <v>74</v>
      </c>
      <c r="L727" t="s">
        <v>74</v>
      </c>
      <c r="M727" t="s">
        <v>78</v>
      </c>
      <c r="N727" t="s">
        <v>79</v>
      </c>
      <c r="O727" t="s">
        <v>74</v>
      </c>
      <c r="P727" t="s">
        <v>74</v>
      </c>
      <c r="Q727" t="s">
        <v>74</v>
      </c>
      <c r="R727" t="s">
        <v>74</v>
      </c>
      <c r="S727" t="s">
        <v>74</v>
      </c>
      <c r="T727" t="s">
        <v>74</v>
      </c>
      <c r="U727" t="s">
        <v>11128</v>
      </c>
      <c r="V727" t="s">
        <v>11129</v>
      </c>
      <c r="W727" t="s">
        <v>11130</v>
      </c>
      <c r="X727" t="s">
        <v>3273</v>
      </c>
      <c r="Y727" t="s">
        <v>11131</v>
      </c>
      <c r="Z727" t="s">
        <v>74</v>
      </c>
      <c r="AA727" t="s">
        <v>11132</v>
      </c>
      <c r="AB727" t="s">
        <v>11133</v>
      </c>
      <c r="AC727" t="s">
        <v>74</v>
      </c>
      <c r="AD727" t="s">
        <v>74</v>
      </c>
      <c r="AE727" t="s">
        <v>74</v>
      </c>
      <c r="AF727" t="s">
        <v>74</v>
      </c>
      <c r="AG727">
        <v>12</v>
      </c>
      <c r="AH727">
        <v>8</v>
      </c>
      <c r="AI727">
        <v>8</v>
      </c>
      <c r="AJ727">
        <v>0</v>
      </c>
      <c r="AK727">
        <v>2</v>
      </c>
      <c r="AL727" t="s">
        <v>1757</v>
      </c>
      <c r="AM727" t="s">
        <v>88</v>
      </c>
      <c r="AN727" t="s">
        <v>1758</v>
      </c>
      <c r="AO727" t="s">
        <v>1759</v>
      </c>
      <c r="AP727" t="s">
        <v>74</v>
      </c>
      <c r="AQ727" t="s">
        <v>74</v>
      </c>
      <c r="AR727" t="s">
        <v>1761</v>
      </c>
      <c r="AS727" t="s">
        <v>1762</v>
      </c>
      <c r="AT727" t="s">
        <v>11134</v>
      </c>
      <c r="AU727">
        <v>2006</v>
      </c>
      <c r="AV727">
        <v>33</v>
      </c>
      <c r="AW727">
        <v>4</v>
      </c>
      <c r="AX727" t="s">
        <v>74</v>
      </c>
      <c r="AY727" t="s">
        <v>74</v>
      </c>
      <c r="AZ727" t="s">
        <v>74</v>
      </c>
      <c r="BA727" t="s">
        <v>74</v>
      </c>
      <c r="BB727" t="s">
        <v>74</v>
      </c>
      <c r="BC727" t="s">
        <v>74</v>
      </c>
      <c r="BD727" t="s">
        <v>11135</v>
      </c>
      <c r="BE727" t="s">
        <v>11136</v>
      </c>
      <c r="BF727" t="str">
        <f>HYPERLINK("http://dx.doi.org/10.1029/2005GL025048","http://dx.doi.org/10.1029/2005GL025048")</f>
        <v>http://dx.doi.org/10.1029/2005GL025048</v>
      </c>
      <c r="BG727" t="s">
        <v>74</v>
      </c>
      <c r="BH727" t="s">
        <v>74</v>
      </c>
      <c r="BI727">
        <v>5</v>
      </c>
      <c r="BJ727" t="s">
        <v>527</v>
      </c>
      <c r="BK727" t="s">
        <v>97</v>
      </c>
      <c r="BL727" t="s">
        <v>528</v>
      </c>
      <c r="BM727" t="s">
        <v>11137</v>
      </c>
      <c r="BN727" t="s">
        <v>74</v>
      </c>
      <c r="BO727" t="s">
        <v>1808</v>
      </c>
      <c r="BP727" t="s">
        <v>74</v>
      </c>
      <c r="BQ727" t="s">
        <v>74</v>
      </c>
      <c r="BR727" t="s">
        <v>100</v>
      </c>
      <c r="BS727" t="s">
        <v>11138</v>
      </c>
      <c r="BT727" t="str">
        <f>HYPERLINK("https%3A%2F%2Fwww.webofscience.com%2Fwos%2Fwoscc%2Ffull-record%2FWOS:000235676000004","View Full Record in Web of Science")</f>
        <v>View Full Record in Web of Science</v>
      </c>
    </row>
    <row r="728" spans="1:72" x14ac:dyDescent="0.15">
      <c r="A728" t="s">
        <v>72</v>
      </c>
      <c r="B728" t="s">
        <v>11139</v>
      </c>
      <c r="C728" t="s">
        <v>74</v>
      </c>
      <c r="D728" t="s">
        <v>74</v>
      </c>
      <c r="E728" t="s">
        <v>74</v>
      </c>
      <c r="F728" t="s">
        <v>11139</v>
      </c>
      <c r="G728" t="s">
        <v>74</v>
      </c>
      <c r="H728" t="s">
        <v>74</v>
      </c>
      <c r="I728" t="s">
        <v>11140</v>
      </c>
      <c r="J728" t="s">
        <v>1943</v>
      </c>
      <c r="K728" t="s">
        <v>74</v>
      </c>
      <c r="L728" t="s">
        <v>74</v>
      </c>
      <c r="M728" t="s">
        <v>78</v>
      </c>
      <c r="N728" t="s">
        <v>79</v>
      </c>
      <c r="O728" t="s">
        <v>74</v>
      </c>
      <c r="P728" t="s">
        <v>74</v>
      </c>
      <c r="Q728" t="s">
        <v>74</v>
      </c>
      <c r="R728" t="s">
        <v>74</v>
      </c>
      <c r="S728" t="s">
        <v>74</v>
      </c>
      <c r="T728" t="s">
        <v>74</v>
      </c>
      <c r="U728" t="s">
        <v>11141</v>
      </c>
      <c r="V728" t="s">
        <v>11142</v>
      </c>
      <c r="W728" t="s">
        <v>11143</v>
      </c>
      <c r="X728" t="s">
        <v>11144</v>
      </c>
      <c r="Y728" t="s">
        <v>11145</v>
      </c>
      <c r="Z728" t="s">
        <v>11146</v>
      </c>
      <c r="AA728" t="s">
        <v>11147</v>
      </c>
      <c r="AB728" t="s">
        <v>11148</v>
      </c>
      <c r="AC728" t="s">
        <v>74</v>
      </c>
      <c r="AD728" t="s">
        <v>74</v>
      </c>
      <c r="AE728" t="s">
        <v>74</v>
      </c>
      <c r="AF728" t="s">
        <v>74</v>
      </c>
      <c r="AG728">
        <v>45</v>
      </c>
      <c r="AH728">
        <v>35</v>
      </c>
      <c r="AI728">
        <v>46</v>
      </c>
      <c r="AJ728">
        <v>0</v>
      </c>
      <c r="AK728">
        <v>12</v>
      </c>
      <c r="AL728" t="s">
        <v>1757</v>
      </c>
      <c r="AM728" t="s">
        <v>88</v>
      </c>
      <c r="AN728" t="s">
        <v>1758</v>
      </c>
      <c r="AO728" t="s">
        <v>1950</v>
      </c>
      <c r="AP728" t="s">
        <v>74</v>
      </c>
      <c r="AQ728" t="s">
        <v>74</v>
      </c>
      <c r="AR728" t="s">
        <v>1943</v>
      </c>
      <c r="AS728" t="s">
        <v>1952</v>
      </c>
      <c r="AT728" t="s">
        <v>11134</v>
      </c>
      <c r="AU728">
        <v>2006</v>
      </c>
      <c r="AV728">
        <v>21</v>
      </c>
      <c r="AW728">
        <v>1</v>
      </c>
      <c r="AX728" t="s">
        <v>74</v>
      </c>
      <c r="AY728" t="s">
        <v>74</v>
      </c>
      <c r="AZ728" t="s">
        <v>74</v>
      </c>
      <c r="BA728" t="s">
        <v>74</v>
      </c>
      <c r="BB728" t="s">
        <v>74</v>
      </c>
      <c r="BC728" t="s">
        <v>74</v>
      </c>
      <c r="BD728" t="s">
        <v>11149</v>
      </c>
      <c r="BE728" t="s">
        <v>11150</v>
      </c>
      <c r="BF728" t="str">
        <f>HYPERLINK("http://dx.doi.org/10.1029/2005PA001186","http://dx.doi.org/10.1029/2005PA001186")</f>
        <v>http://dx.doi.org/10.1029/2005PA001186</v>
      </c>
      <c r="BG728" t="s">
        <v>74</v>
      </c>
      <c r="BH728" t="s">
        <v>74</v>
      </c>
      <c r="BI728">
        <v>9</v>
      </c>
      <c r="BJ728" t="s">
        <v>1955</v>
      </c>
      <c r="BK728" t="s">
        <v>97</v>
      </c>
      <c r="BL728" t="s">
        <v>1956</v>
      </c>
      <c r="BM728" t="s">
        <v>11151</v>
      </c>
      <c r="BN728" t="s">
        <v>74</v>
      </c>
      <c r="BO728" t="s">
        <v>4101</v>
      </c>
      <c r="BP728" t="s">
        <v>74</v>
      </c>
      <c r="BQ728" t="s">
        <v>74</v>
      </c>
      <c r="BR728" t="s">
        <v>100</v>
      </c>
      <c r="BS728" t="s">
        <v>11152</v>
      </c>
      <c r="BT728" t="str">
        <f>HYPERLINK("https%3A%2F%2Fwww.webofscience.com%2Fwos%2Fwoscc%2Ffull-record%2FWOS:000235678100001","View Full Record in Web of Science")</f>
        <v>View Full Record in Web of Science</v>
      </c>
    </row>
    <row r="729" spans="1:72" x14ac:dyDescent="0.15">
      <c r="A729" t="s">
        <v>72</v>
      </c>
      <c r="B729" t="s">
        <v>11153</v>
      </c>
      <c r="C729" t="s">
        <v>74</v>
      </c>
      <c r="D729" t="s">
        <v>74</v>
      </c>
      <c r="E729" t="s">
        <v>74</v>
      </c>
      <c r="F729" t="s">
        <v>11153</v>
      </c>
      <c r="G729" t="s">
        <v>74</v>
      </c>
      <c r="H729" t="s">
        <v>74</v>
      </c>
      <c r="I729" t="s">
        <v>11154</v>
      </c>
      <c r="J729" t="s">
        <v>1884</v>
      </c>
      <c r="K729" t="s">
        <v>74</v>
      </c>
      <c r="L729" t="s">
        <v>74</v>
      </c>
      <c r="M729" t="s">
        <v>78</v>
      </c>
      <c r="N729" t="s">
        <v>79</v>
      </c>
      <c r="O729" t="s">
        <v>74</v>
      </c>
      <c r="P729" t="s">
        <v>74</v>
      </c>
      <c r="Q729" t="s">
        <v>74</v>
      </c>
      <c r="R729" t="s">
        <v>74</v>
      </c>
      <c r="S729" t="s">
        <v>74</v>
      </c>
      <c r="T729" t="s">
        <v>74</v>
      </c>
      <c r="U729" t="s">
        <v>11155</v>
      </c>
      <c r="V729" t="s">
        <v>11156</v>
      </c>
      <c r="W729" t="s">
        <v>11157</v>
      </c>
      <c r="X729" t="s">
        <v>11158</v>
      </c>
      <c r="Y729" t="s">
        <v>11159</v>
      </c>
      <c r="Z729" t="s">
        <v>11160</v>
      </c>
      <c r="AA729" t="s">
        <v>11161</v>
      </c>
      <c r="AB729" t="s">
        <v>11162</v>
      </c>
      <c r="AC729" t="s">
        <v>74</v>
      </c>
      <c r="AD729" t="s">
        <v>74</v>
      </c>
      <c r="AE729" t="s">
        <v>74</v>
      </c>
      <c r="AF729" t="s">
        <v>74</v>
      </c>
      <c r="AG729">
        <v>40</v>
      </c>
      <c r="AH729">
        <v>36</v>
      </c>
      <c r="AI729">
        <v>44</v>
      </c>
      <c r="AJ729">
        <v>1</v>
      </c>
      <c r="AK729">
        <v>14</v>
      </c>
      <c r="AL729" t="s">
        <v>1893</v>
      </c>
      <c r="AM729" t="s">
        <v>1894</v>
      </c>
      <c r="AN729" t="s">
        <v>1895</v>
      </c>
      <c r="AO729" t="s">
        <v>1896</v>
      </c>
      <c r="AP729" t="s">
        <v>1897</v>
      </c>
      <c r="AQ729" t="s">
        <v>74</v>
      </c>
      <c r="AR729" t="s">
        <v>1898</v>
      </c>
      <c r="AS729" t="s">
        <v>1899</v>
      </c>
      <c r="AT729" t="s">
        <v>11163</v>
      </c>
      <c r="AU729">
        <v>2006</v>
      </c>
      <c r="AV729">
        <v>6</v>
      </c>
      <c r="AW729" t="s">
        <v>74</v>
      </c>
      <c r="AX729" t="s">
        <v>74</v>
      </c>
      <c r="AY729" t="s">
        <v>74</v>
      </c>
      <c r="AZ729" t="s">
        <v>74</v>
      </c>
      <c r="BA729" t="s">
        <v>74</v>
      </c>
      <c r="BB729">
        <v>493</v>
      </c>
      <c r="BC729">
        <v>503</v>
      </c>
      <c r="BD729" t="s">
        <v>74</v>
      </c>
      <c r="BE729" t="s">
        <v>11164</v>
      </c>
      <c r="BF729" t="str">
        <f>HYPERLINK("http://dx.doi.org/10.5194/acp-6-493-2006","http://dx.doi.org/10.5194/acp-6-493-2006")</f>
        <v>http://dx.doi.org/10.5194/acp-6-493-2006</v>
      </c>
      <c r="BG729" t="s">
        <v>74</v>
      </c>
      <c r="BH729" t="s">
        <v>74</v>
      </c>
      <c r="BI729">
        <v>11</v>
      </c>
      <c r="BJ729" t="s">
        <v>395</v>
      </c>
      <c r="BK729" t="s">
        <v>97</v>
      </c>
      <c r="BL729" t="s">
        <v>396</v>
      </c>
      <c r="BM729" t="s">
        <v>11165</v>
      </c>
      <c r="BN729" t="s">
        <v>74</v>
      </c>
      <c r="BO729" t="s">
        <v>2445</v>
      </c>
      <c r="BP729" t="s">
        <v>74</v>
      </c>
      <c r="BQ729" t="s">
        <v>74</v>
      </c>
      <c r="BR729" t="s">
        <v>100</v>
      </c>
      <c r="BS729" t="s">
        <v>11166</v>
      </c>
      <c r="BT729" t="str">
        <f>HYPERLINK("https%3A%2F%2Fwww.webofscience.com%2Fwos%2Fwoscc%2Ffull-record%2FWOS:000235367900001","View Full Record in Web of Science")</f>
        <v>View Full Record in Web of Science</v>
      </c>
    </row>
    <row r="730" spans="1:72" x14ac:dyDescent="0.15">
      <c r="A730" t="s">
        <v>72</v>
      </c>
      <c r="B730" t="s">
        <v>11167</v>
      </c>
      <c r="C730" t="s">
        <v>74</v>
      </c>
      <c r="D730" t="s">
        <v>74</v>
      </c>
      <c r="E730" t="s">
        <v>74</v>
      </c>
      <c r="F730" t="s">
        <v>11168</v>
      </c>
      <c r="G730" t="s">
        <v>74</v>
      </c>
      <c r="H730" t="s">
        <v>74</v>
      </c>
      <c r="I730" t="s">
        <v>11169</v>
      </c>
      <c r="J730" t="s">
        <v>1772</v>
      </c>
      <c r="K730" t="s">
        <v>74</v>
      </c>
      <c r="L730" t="s">
        <v>74</v>
      </c>
      <c r="M730" t="s">
        <v>78</v>
      </c>
      <c r="N730" t="s">
        <v>79</v>
      </c>
      <c r="O730" t="s">
        <v>74</v>
      </c>
      <c r="P730" t="s">
        <v>74</v>
      </c>
      <c r="Q730" t="s">
        <v>74</v>
      </c>
      <c r="R730" t="s">
        <v>74</v>
      </c>
      <c r="S730" t="s">
        <v>74</v>
      </c>
      <c r="T730" t="s">
        <v>74</v>
      </c>
      <c r="U730" t="s">
        <v>11170</v>
      </c>
      <c r="V730" t="s">
        <v>11171</v>
      </c>
      <c r="W730" t="s">
        <v>11172</v>
      </c>
      <c r="X730" t="s">
        <v>11173</v>
      </c>
      <c r="Y730" t="s">
        <v>11174</v>
      </c>
      <c r="Z730" t="s">
        <v>11175</v>
      </c>
      <c r="AA730" t="s">
        <v>11176</v>
      </c>
      <c r="AB730" t="s">
        <v>74</v>
      </c>
      <c r="AC730" t="s">
        <v>74</v>
      </c>
      <c r="AD730" t="s">
        <v>74</v>
      </c>
      <c r="AE730" t="s">
        <v>74</v>
      </c>
      <c r="AF730" t="s">
        <v>74</v>
      </c>
      <c r="AG730">
        <v>79</v>
      </c>
      <c r="AH730">
        <v>98</v>
      </c>
      <c r="AI730">
        <v>102</v>
      </c>
      <c r="AJ730">
        <v>1</v>
      </c>
      <c r="AK730">
        <v>29</v>
      </c>
      <c r="AL730" t="s">
        <v>1757</v>
      </c>
      <c r="AM730" t="s">
        <v>88</v>
      </c>
      <c r="AN730" t="s">
        <v>1758</v>
      </c>
      <c r="AO730" t="s">
        <v>1779</v>
      </c>
      <c r="AP730" t="s">
        <v>1780</v>
      </c>
      <c r="AQ730" t="s">
        <v>74</v>
      </c>
      <c r="AR730" t="s">
        <v>1781</v>
      </c>
      <c r="AS730" t="s">
        <v>1782</v>
      </c>
      <c r="AT730" t="s">
        <v>11177</v>
      </c>
      <c r="AU730">
        <v>2006</v>
      </c>
      <c r="AV730">
        <v>111</v>
      </c>
      <c r="AW730" t="s">
        <v>2149</v>
      </c>
      <c r="AX730" t="s">
        <v>74</v>
      </c>
      <c r="AY730" t="s">
        <v>74</v>
      </c>
      <c r="AZ730" t="s">
        <v>74</v>
      </c>
      <c r="BA730" t="s">
        <v>74</v>
      </c>
      <c r="BB730" t="s">
        <v>74</v>
      </c>
      <c r="BC730" t="s">
        <v>74</v>
      </c>
      <c r="BD730" t="s">
        <v>11178</v>
      </c>
      <c r="BE730" t="s">
        <v>11179</v>
      </c>
      <c r="BF730" t="str">
        <f>HYPERLINK("http://dx.doi.org/10.1029/2005JD006001","http://dx.doi.org/10.1029/2005JD006001")</f>
        <v>http://dx.doi.org/10.1029/2005JD006001</v>
      </c>
      <c r="BG730" t="s">
        <v>74</v>
      </c>
      <c r="BH730" t="s">
        <v>74</v>
      </c>
      <c r="BI730">
        <v>17</v>
      </c>
      <c r="BJ730" t="s">
        <v>869</v>
      </c>
      <c r="BK730" t="s">
        <v>97</v>
      </c>
      <c r="BL730" t="s">
        <v>869</v>
      </c>
      <c r="BM730" t="s">
        <v>11180</v>
      </c>
      <c r="BN730" t="s">
        <v>74</v>
      </c>
      <c r="BO730" t="s">
        <v>460</v>
      </c>
      <c r="BP730" t="s">
        <v>74</v>
      </c>
      <c r="BQ730" t="s">
        <v>74</v>
      </c>
      <c r="BR730" t="s">
        <v>100</v>
      </c>
      <c r="BS730" t="s">
        <v>11181</v>
      </c>
      <c r="BT730" t="str">
        <f>HYPERLINK("https%3A%2F%2Fwww.webofscience.com%2Fwos%2Fwoscc%2Ffull-record%2FWOS:000239200000002","View Full Record in Web of Science")</f>
        <v>View Full Record in Web of Science</v>
      </c>
    </row>
    <row r="731" spans="1:72" x14ac:dyDescent="0.15">
      <c r="A731" t="s">
        <v>72</v>
      </c>
      <c r="B731" t="s">
        <v>11182</v>
      </c>
      <c r="C731" t="s">
        <v>74</v>
      </c>
      <c r="D731" t="s">
        <v>74</v>
      </c>
      <c r="E731" t="s">
        <v>74</v>
      </c>
      <c r="F731" t="s">
        <v>11183</v>
      </c>
      <c r="G731" t="s">
        <v>74</v>
      </c>
      <c r="H731" t="s">
        <v>74</v>
      </c>
      <c r="I731" t="s">
        <v>11184</v>
      </c>
      <c r="J731" t="s">
        <v>2354</v>
      </c>
      <c r="K731" t="s">
        <v>74</v>
      </c>
      <c r="L731" t="s">
        <v>74</v>
      </c>
      <c r="M731" t="s">
        <v>78</v>
      </c>
      <c r="N731" t="s">
        <v>79</v>
      </c>
      <c r="O731" t="s">
        <v>74</v>
      </c>
      <c r="P731" t="s">
        <v>74</v>
      </c>
      <c r="Q731" t="s">
        <v>74</v>
      </c>
      <c r="R731" t="s">
        <v>74</v>
      </c>
      <c r="S731" t="s">
        <v>74</v>
      </c>
      <c r="T731" t="s">
        <v>74</v>
      </c>
      <c r="U731" t="s">
        <v>11185</v>
      </c>
      <c r="V731" t="s">
        <v>11186</v>
      </c>
      <c r="W731" t="s">
        <v>11187</v>
      </c>
      <c r="X731" t="s">
        <v>11188</v>
      </c>
      <c r="Y731" t="s">
        <v>11189</v>
      </c>
      <c r="Z731" t="s">
        <v>11190</v>
      </c>
      <c r="AA731" t="s">
        <v>11191</v>
      </c>
      <c r="AB731" t="s">
        <v>11192</v>
      </c>
      <c r="AC731" t="s">
        <v>74</v>
      </c>
      <c r="AD731" t="s">
        <v>74</v>
      </c>
      <c r="AE731" t="s">
        <v>74</v>
      </c>
      <c r="AF731" t="s">
        <v>74</v>
      </c>
      <c r="AG731">
        <v>47</v>
      </c>
      <c r="AH731">
        <v>32</v>
      </c>
      <c r="AI731">
        <v>38</v>
      </c>
      <c r="AJ731">
        <v>0</v>
      </c>
      <c r="AK731">
        <v>18</v>
      </c>
      <c r="AL731" t="s">
        <v>1757</v>
      </c>
      <c r="AM731" t="s">
        <v>88</v>
      </c>
      <c r="AN731" t="s">
        <v>1758</v>
      </c>
      <c r="AO731" t="s">
        <v>2363</v>
      </c>
      <c r="AP731" t="s">
        <v>2364</v>
      </c>
      <c r="AQ731" t="s">
        <v>74</v>
      </c>
      <c r="AR731" t="s">
        <v>2365</v>
      </c>
      <c r="AS731" t="s">
        <v>2366</v>
      </c>
      <c r="AT731" t="s">
        <v>11177</v>
      </c>
      <c r="AU731">
        <v>2006</v>
      </c>
      <c r="AV731">
        <v>111</v>
      </c>
      <c r="AW731" t="s">
        <v>11193</v>
      </c>
      <c r="AX731" t="s">
        <v>74</v>
      </c>
      <c r="AY731" t="s">
        <v>74</v>
      </c>
      <c r="AZ731" t="s">
        <v>74</v>
      </c>
      <c r="BA731" t="s">
        <v>74</v>
      </c>
      <c r="BB731" t="s">
        <v>74</v>
      </c>
      <c r="BC731" t="s">
        <v>74</v>
      </c>
      <c r="BD731" t="s">
        <v>11194</v>
      </c>
      <c r="BE731" t="s">
        <v>11195</v>
      </c>
      <c r="BF731" t="str">
        <f>HYPERLINK("http://dx.doi.org/10.1029/2005JC003011","http://dx.doi.org/10.1029/2005JC003011")</f>
        <v>http://dx.doi.org/10.1029/2005JC003011</v>
      </c>
      <c r="BG731" t="s">
        <v>74</v>
      </c>
      <c r="BH731" t="s">
        <v>74</v>
      </c>
      <c r="BI731">
        <v>14</v>
      </c>
      <c r="BJ731" t="s">
        <v>1069</v>
      </c>
      <c r="BK731" t="s">
        <v>97</v>
      </c>
      <c r="BL731" t="s">
        <v>1069</v>
      </c>
      <c r="BM731" t="s">
        <v>11196</v>
      </c>
      <c r="BN731" t="s">
        <v>74</v>
      </c>
      <c r="BO731" t="s">
        <v>1808</v>
      </c>
      <c r="BP731" t="s">
        <v>74</v>
      </c>
      <c r="BQ731" t="s">
        <v>74</v>
      </c>
      <c r="BR731" t="s">
        <v>100</v>
      </c>
      <c r="BS731" t="s">
        <v>11197</v>
      </c>
      <c r="BT731" t="str">
        <f>HYPERLINK("https%3A%2F%2Fwww.webofscience.com%2Fwos%2Fwoscc%2Ffull-record%2FWOS:000239200700001","View Full Record in Web of Science")</f>
        <v>View Full Record in Web of Science</v>
      </c>
    </row>
    <row r="732" spans="1:72" x14ac:dyDescent="0.15">
      <c r="A732" t="s">
        <v>72</v>
      </c>
      <c r="B732" t="s">
        <v>11198</v>
      </c>
      <c r="C732" t="s">
        <v>74</v>
      </c>
      <c r="D732" t="s">
        <v>74</v>
      </c>
      <c r="E732" t="s">
        <v>74</v>
      </c>
      <c r="F732" t="s">
        <v>11198</v>
      </c>
      <c r="G732" t="s">
        <v>74</v>
      </c>
      <c r="H732" t="s">
        <v>74</v>
      </c>
      <c r="I732" t="s">
        <v>11199</v>
      </c>
      <c r="J732" t="s">
        <v>3922</v>
      </c>
      <c r="K732" t="s">
        <v>74</v>
      </c>
      <c r="L732" t="s">
        <v>74</v>
      </c>
      <c r="M732" t="s">
        <v>78</v>
      </c>
      <c r="N732" t="s">
        <v>79</v>
      </c>
      <c r="O732" t="s">
        <v>74</v>
      </c>
      <c r="P732" t="s">
        <v>74</v>
      </c>
      <c r="Q732" t="s">
        <v>74</v>
      </c>
      <c r="R732" t="s">
        <v>74</v>
      </c>
      <c r="S732" t="s">
        <v>74</v>
      </c>
      <c r="T732" t="s">
        <v>11200</v>
      </c>
      <c r="U732" t="s">
        <v>74</v>
      </c>
      <c r="V732" t="s">
        <v>11201</v>
      </c>
      <c r="W732" t="s">
        <v>11202</v>
      </c>
      <c r="X732" t="s">
        <v>3941</v>
      </c>
      <c r="Y732" t="s">
        <v>11203</v>
      </c>
      <c r="Z732" t="s">
        <v>11204</v>
      </c>
      <c r="AA732" t="s">
        <v>74</v>
      </c>
      <c r="AB732" t="s">
        <v>74</v>
      </c>
      <c r="AC732" t="s">
        <v>74</v>
      </c>
      <c r="AD732" t="s">
        <v>74</v>
      </c>
      <c r="AE732" t="s">
        <v>74</v>
      </c>
      <c r="AF732" t="s">
        <v>74</v>
      </c>
      <c r="AG732">
        <v>16</v>
      </c>
      <c r="AH732">
        <v>12</v>
      </c>
      <c r="AI732">
        <v>12</v>
      </c>
      <c r="AJ732">
        <v>0</v>
      </c>
      <c r="AK732">
        <v>4</v>
      </c>
      <c r="AL732" t="s">
        <v>914</v>
      </c>
      <c r="AM732" t="s">
        <v>915</v>
      </c>
      <c r="AN732" t="s">
        <v>916</v>
      </c>
      <c r="AO732" t="s">
        <v>3928</v>
      </c>
      <c r="AP732" t="s">
        <v>74</v>
      </c>
      <c r="AQ732" t="s">
        <v>74</v>
      </c>
      <c r="AR732" t="s">
        <v>3929</v>
      </c>
      <c r="AS732" t="s">
        <v>3930</v>
      </c>
      <c r="AT732" t="s">
        <v>11205</v>
      </c>
      <c r="AU732">
        <v>2006</v>
      </c>
      <c r="AV732">
        <v>90</v>
      </c>
      <c r="AW732">
        <v>3</v>
      </c>
      <c r="AX732" t="s">
        <v>74</v>
      </c>
      <c r="AY732" t="s">
        <v>74</v>
      </c>
      <c r="AZ732" t="s">
        <v>74</v>
      </c>
      <c r="BA732" t="s">
        <v>74</v>
      </c>
      <c r="BB732">
        <v>421</v>
      </c>
      <c r="BC732">
        <v>427</v>
      </c>
      <c r="BD732" t="s">
        <v>74</v>
      </c>
      <c r="BE732" t="s">
        <v>74</v>
      </c>
      <c r="BF732" t="s">
        <v>74</v>
      </c>
      <c r="BG732" t="s">
        <v>74</v>
      </c>
      <c r="BH732" t="s">
        <v>74</v>
      </c>
      <c r="BI732">
        <v>7</v>
      </c>
      <c r="BJ732" t="s">
        <v>1841</v>
      </c>
      <c r="BK732" t="s">
        <v>97</v>
      </c>
      <c r="BL732" t="s">
        <v>1842</v>
      </c>
      <c r="BM732" t="s">
        <v>11206</v>
      </c>
      <c r="BN732" t="s">
        <v>74</v>
      </c>
      <c r="BO732" t="s">
        <v>74</v>
      </c>
      <c r="BP732" t="s">
        <v>74</v>
      </c>
      <c r="BQ732" t="s">
        <v>74</v>
      </c>
      <c r="BR732" t="s">
        <v>100</v>
      </c>
      <c r="BS732" t="s">
        <v>11207</v>
      </c>
      <c r="BT732" t="str">
        <f>HYPERLINK("https%3A%2F%2Fwww.webofscience.com%2Fwos%2Fwoscc%2Ffull-record%2FWOS:000235497600028","View Full Record in Web of Science")</f>
        <v>View Full Record in Web of Science</v>
      </c>
    </row>
    <row r="733" spans="1:72" x14ac:dyDescent="0.15">
      <c r="A733" t="s">
        <v>72</v>
      </c>
      <c r="B733" t="s">
        <v>11208</v>
      </c>
      <c r="C733" t="s">
        <v>74</v>
      </c>
      <c r="D733" t="s">
        <v>74</v>
      </c>
      <c r="E733" t="s">
        <v>74</v>
      </c>
      <c r="F733" t="s">
        <v>11208</v>
      </c>
      <c r="G733" t="s">
        <v>74</v>
      </c>
      <c r="H733" t="s">
        <v>74</v>
      </c>
      <c r="I733" t="s">
        <v>11209</v>
      </c>
      <c r="J733" t="s">
        <v>1748</v>
      </c>
      <c r="K733" t="s">
        <v>74</v>
      </c>
      <c r="L733" t="s">
        <v>74</v>
      </c>
      <c r="M733" t="s">
        <v>78</v>
      </c>
      <c r="N733" t="s">
        <v>79</v>
      </c>
      <c r="O733" t="s">
        <v>74</v>
      </c>
      <c r="P733" t="s">
        <v>74</v>
      </c>
      <c r="Q733" t="s">
        <v>74</v>
      </c>
      <c r="R733" t="s">
        <v>74</v>
      </c>
      <c r="S733" t="s">
        <v>74</v>
      </c>
      <c r="T733" t="s">
        <v>74</v>
      </c>
      <c r="U733" t="s">
        <v>11210</v>
      </c>
      <c r="V733" t="s">
        <v>11211</v>
      </c>
      <c r="W733" t="s">
        <v>11212</v>
      </c>
      <c r="X733" t="s">
        <v>11213</v>
      </c>
      <c r="Y733" t="s">
        <v>11214</v>
      </c>
      <c r="Z733" t="s">
        <v>11215</v>
      </c>
      <c r="AA733" t="s">
        <v>11216</v>
      </c>
      <c r="AB733" t="s">
        <v>11217</v>
      </c>
      <c r="AC733" t="s">
        <v>74</v>
      </c>
      <c r="AD733" t="s">
        <v>74</v>
      </c>
      <c r="AE733" t="s">
        <v>74</v>
      </c>
      <c r="AF733" t="s">
        <v>74</v>
      </c>
      <c r="AG733">
        <v>22</v>
      </c>
      <c r="AH733">
        <v>162</v>
      </c>
      <c r="AI733">
        <v>173</v>
      </c>
      <c r="AJ733">
        <v>1</v>
      </c>
      <c r="AK733">
        <v>36</v>
      </c>
      <c r="AL733" t="s">
        <v>1757</v>
      </c>
      <c r="AM733" t="s">
        <v>88</v>
      </c>
      <c r="AN733" t="s">
        <v>1758</v>
      </c>
      <c r="AO733" t="s">
        <v>1759</v>
      </c>
      <c r="AP733" t="s">
        <v>1760</v>
      </c>
      <c r="AQ733" t="s">
        <v>74</v>
      </c>
      <c r="AR733" t="s">
        <v>1761</v>
      </c>
      <c r="AS733" t="s">
        <v>1762</v>
      </c>
      <c r="AT733" t="s">
        <v>11205</v>
      </c>
      <c r="AU733">
        <v>2006</v>
      </c>
      <c r="AV733">
        <v>33</v>
      </c>
      <c r="AW733">
        <v>3</v>
      </c>
      <c r="AX733" t="s">
        <v>74</v>
      </c>
      <c r="AY733" t="s">
        <v>74</v>
      </c>
      <c r="AZ733" t="s">
        <v>74</v>
      </c>
      <c r="BA733" t="s">
        <v>74</v>
      </c>
      <c r="BB733" t="s">
        <v>74</v>
      </c>
      <c r="BC733" t="s">
        <v>74</v>
      </c>
      <c r="BD733" t="s">
        <v>11218</v>
      </c>
      <c r="BE733" t="s">
        <v>11219</v>
      </c>
      <c r="BF733" t="str">
        <f>HYPERLINK("http://dx.doi.org/10.1029/2005GL024911","http://dx.doi.org/10.1029/2005GL024911")</f>
        <v>http://dx.doi.org/10.1029/2005GL024911</v>
      </c>
      <c r="BG733" t="s">
        <v>74</v>
      </c>
      <c r="BH733" t="s">
        <v>74</v>
      </c>
      <c r="BI733">
        <v>4</v>
      </c>
      <c r="BJ733" t="s">
        <v>527</v>
      </c>
      <c r="BK733" t="s">
        <v>97</v>
      </c>
      <c r="BL733" t="s">
        <v>528</v>
      </c>
      <c r="BM733" t="s">
        <v>11220</v>
      </c>
      <c r="BN733" t="s">
        <v>74</v>
      </c>
      <c r="BO733" t="s">
        <v>74</v>
      </c>
      <c r="BP733" t="s">
        <v>74</v>
      </c>
      <c r="BQ733" t="s">
        <v>74</v>
      </c>
      <c r="BR733" t="s">
        <v>100</v>
      </c>
      <c r="BS733" t="s">
        <v>11221</v>
      </c>
      <c r="BT733" t="str">
        <f>HYPERLINK("https%3A%2F%2Fwww.webofscience.com%2Fwos%2Fwoscc%2Ffull-record%2FWOS:000235362000003","View Full Record in Web of Science")</f>
        <v>View Full Record in Web of Science</v>
      </c>
    </row>
    <row r="734" spans="1:72" x14ac:dyDescent="0.15">
      <c r="A734" t="s">
        <v>72</v>
      </c>
      <c r="B734" t="s">
        <v>11222</v>
      </c>
      <c r="C734" t="s">
        <v>74</v>
      </c>
      <c r="D734" t="s">
        <v>74</v>
      </c>
      <c r="E734" t="s">
        <v>74</v>
      </c>
      <c r="F734" t="s">
        <v>11222</v>
      </c>
      <c r="G734" t="s">
        <v>74</v>
      </c>
      <c r="H734" t="s">
        <v>74</v>
      </c>
      <c r="I734" t="s">
        <v>11223</v>
      </c>
      <c r="J734" t="s">
        <v>1772</v>
      </c>
      <c r="K734" t="s">
        <v>74</v>
      </c>
      <c r="L734" t="s">
        <v>74</v>
      </c>
      <c r="M734" t="s">
        <v>78</v>
      </c>
      <c r="N734" t="s">
        <v>79</v>
      </c>
      <c r="O734" t="s">
        <v>74</v>
      </c>
      <c r="P734" t="s">
        <v>74</v>
      </c>
      <c r="Q734" t="s">
        <v>74</v>
      </c>
      <c r="R734" t="s">
        <v>74</v>
      </c>
      <c r="S734" t="s">
        <v>74</v>
      </c>
      <c r="T734" t="s">
        <v>74</v>
      </c>
      <c r="U734" t="s">
        <v>11224</v>
      </c>
      <c r="V734" t="s">
        <v>11225</v>
      </c>
      <c r="W734" t="s">
        <v>11226</v>
      </c>
      <c r="X734" t="s">
        <v>11227</v>
      </c>
      <c r="Y734" t="s">
        <v>11228</v>
      </c>
      <c r="Z734" t="s">
        <v>11229</v>
      </c>
      <c r="AA734" t="s">
        <v>11230</v>
      </c>
      <c r="AB734" t="s">
        <v>11231</v>
      </c>
      <c r="AC734" t="s">
        <v>74</v>
      </c>
      <c r="AD734" t="s">
        <v>74</v>
      </c>
      <c r="AE734" t="s">
        <v>74</v>
      </c>
      <c r="AF734" t="s">
        <v>74</v>
      </c>
      <c r="AG734">
        <v>43</v>
      </c>
      <c r="AH734">
        <v>52</v>
      </c>
      <c r="AI734">
        <v>57</v>
      </c>
      <c r="AJ734">
        <v>0</v>
      </c>
      <c r="AK734">
        <v>12</v>
      </c>
      <c r="AL734" t="s">
        <v>1757</v>
      </c>
      <c r="AM734" t="s">
        <v>88</v>
      </c>
      <c r="AN734" t="s">
        <v>1758</v>
      </c>
      <c r="AO734" t="s">
        <v>1779</v>
      </c>
      <c r="AP734" t="s">
        <v>1780</v>
      </c>
      <c r="AQ734" t="s">
        <v>74</v>
      </c>
      <c r="AR734" t="s">
        <v>1781</v>
      </c>
      <c r="AS734" t="s">
        <v>1782</v>
      </c>
      <c r="AT734" t="s">
        <v>11205</v>
      </c>
      <c r="AU734">
        <v>2006</v>
      </c>
      <c r="AV734">
        <v>111</v>
      </c>
      <c r="AW734" t="s">
        <v>11232</v>
      </c>
      <c r="AX734" t="s">
        <v>74</v>
      </c>
      <c r="AY734" t="s">
        <v>74</v>
      </c>
      <c r="AZ734" t="s">
        <v>74</v>
      </c>
      <c r="BA734" t="s">
        <v>74</v>
      </c>
      <c r="BB734" t="s">
        <v>74</v>
      </c>
      <c r="BC734" t="s">
        <v>74</v>
      </c>
      <c r="BD734" t="s">
        <v>11233</v>
      </c>
      <c r="BE734" t="s">
        <v>11234</v>
      </c>
      <c r="BF734" t="str">
        <f>HYPERLINK("http://dx.doi.org/10.1029/2005JD006086","http://dx.doi.org/10.1029/2005JD006086")</f>
        <v>http://dx.doi.org/10.1029/2005JD006086</v>
      </c>
      <c r="BG734" t="s">
        <v>74</v>
      </c>
      <c r="BH734" t="s">
        <v>74</v>
      </c>
      <c r="BI734">
        <v>14</v>
      </c>
      <c r="BJ734" t="s">
        <v>869</v>
      </c>
      <c r="BK734" t="s">
        <v>97</v>
      </c>
      <c r="BL734" t="s">
        <v>869</v>
      </c>
      <c r="BM734" t="s">
        <v>11235</v>
      </c>
      <c r="BN734" t="s">
        <v>74</v>
      </c>
      <c r="BO734" t="s">
        <v>74</v>
      </c>
      <c r="BP734" t="s">
        <v>74</v>
      </c>
      <c r="BQ734" t="s">
        <v>74</v>
      </c>
      <c r="BR734" t="s">
        <v>100</v>
      </c>
      <c r="BS734" t="s">
        <v>11236</v>
      </c>
      <c r="BT734" t="str">
        <f>HYPERLINK("https%3A%2F%2Fwww.webofscience.com%2Fwos%2Fwoscc%2Ffull-record%2FWOS:000235362800001","View Full Record in Web of Science")</f>
        <v>View Full Record in Web of Science</v>
      </c>
    </row>
    <row r="735" spans="1:72" x14ac:dyDescent="0.15">
      <c r="A735" t="s">
        <v>72</v>
      </c>
      <c r="B735" t="s">
        <v>11237</v>
      </c>
      <c r="C735" t="s">
        <v>74</v>
      </c>
      <c r="D735" t="s">
        <v>74</v>
      </c>
      <c r="E735" t="s">
        <v>74</v>
      </c>
      <c r="F735" t="s">
        <v>11237</v>
      </c>
      <c r="G735" t="s">
        <v>74</v>
      </c>
      <c r="H735" t="s">
        <v>74</v>
      </c>
      <c r="I735" t="s">
        <v>11238</v>
      </c>
      <c r="J735" t="s">
        <v>3963</v>
      </c>
      <c r="K735" t="s">
        <v>74</v>
      </c>
      <c r="L735" t="s">
        <v>74</v>
      </c>
      <c r="M735" t="s">
        <v>78</v>
      </c>
      <c r="N735" t="s">
        <v>552</v>
      </c>
      <c r="O735" t="s">
        <v>74</v>
      </c>
      <c r="P735" t="s">
        <v>74</v>
      </c>
      <c r="Q735" t="s">
        <v>74</v>
      </c>
      <c r="R735" t="s">
        <v>74</v>
      </c>
      <c r="S735" t="s">
        <v>74</v>
      </c>
      <c r="T735" t="s">
        <v>74</v>
      </c>
      <c r="U735" t="s">
        <v>11239</v>
      </c>
      <c r="V735" t="s">
        <v>74</v>
      </c>
      <c r="W735" t="s">
        <v>11240</v>
      </c>
      <c r="X735" t="s">
        <v>11241</v>
      </c>
      <c r="Y735" t="s">
        <v>11242</v>
      </c>
      <c r="Z735" t="s">
        <v>11243</v>
      </c>
      <c r="AA735" t="s">
        <v>11244</v>
      </c>
      <c r="AB735" t="s">
        <v>11245</v>
      </c>
      <c r="AC735" t="s">
        <v>74</v>
      </c>
      <c r="AD735" t="s">
        <v>74</v>
      </c>
      <c r="AE735" t="s">
        <v>74</v>
      </c>
      <c r="AF735" t="s">
        <v>74</v>
      </c>
      <c r="AG735">
        <v>39</v>
      </c>
      <c r="AH735">
        <v>4</v>
      </c>
      <c r="AI735">
        <v>4</v>
      </c>
      <c r="AJ735">
        <v>1</v>
      </c>
      <c r="AK735">
        <v>3</v>
      </c>
      <c r="AL735" t="s">
        <v>1261</v>
      </c>
      <c r="AM735" t="s">
        <v>520</v>
      </c>
      <c r="AN735" t="s">
        <v>1262</v>
      </c>
      <c r="AO735" t="s">
        <v>3976</v>
      </c>
      <c r="AP735" t="s">
        <v>74</v>
      </c>
      <c r="AQ735" t="s">
        <v>74</v>
      </c>
      <c r="AR735" t="s">
        <v>3978</v>
      </c>
      <c r="AS735" t="s">
        <v>3979</v>
      </c>
      <c r="AT735" t="s">
        <v>11246</v>
      </c>
      <c r="AU735">
        <v>2006</v>
      </c>
      <c r="AV735">
        <v>231</v>
      </c>
      <c r="AW735" t="s">
        <v>765</v>
      </c>
      <c r="AX735" t="s">
        <v>74</v>
      </c>
      <c r="AY735" t="s">
        <v>74</v>
      </c>
      <c r="AZ735" t="s">
        <v>74</v>
      </c>
      <c r="BA735" t="s">
        <v>74</v>
      </c>
      <c r="BB735">
        <v>1</v>
      </c>
      <c r="BC735">
        <v>8</v>
      </c>
      <c r="BD735" t="s">
        <v>74</v>
      </c>
      <c r="BE735" t="s">
        <v>11247</v>
      </c>
      <c r="BF735" t="str">
        <f>HYPERLINK("http://dx.doi.org/10.1016/j.palaeo.2005.08.003","http://dx.doi.org/10.1016/j.palaeo.2005.08.003")</f>
        <v>http://dx.doi.org/10.1016/j.palaeo.2005.08.003</v>
      </c>
      <c r="BG735" t="s">
        <v>74</v>
      </c>
      <c r="BH735" t="s">
        <v>74</v>
      </c>
      <c r="BI735">
        <v>8</v>
      </c>
      <c r="BJ735" t="s">
        <v>3982</v>
      </c>
      <c r="BK735" t="s">
        <v>97</v>
      </c>
      <c r="BL735" t="s">
        <v>3983</v>
      </c>
      <c r="BM735" t="s">
        <v>11248</v>
      </c>
      <c r="BN735" t="s">
        <v>74</v>
      </c>
      <c r="BO735" t="s">
        <v>74</v>
      </c>
      <c r="BP735" t="s">
        <v>74</v>
      </c>
      <c r="BQ735" t="s">
        <v>74</v>
      </c>
      <c r="BR735" t="s">
        <v>100</v>
      </c>
      <c r="BS735" t="s">
        <v>11249</v>
      </c>
      <c r="BT735" t="str">
        <f>HYPERLINK("https%3A%2F%2Fwww.webofscience.com%2Fwos%2Fwoscc%2Ffull-record%2FWOS:000235849900001","View Full Record in Web of Science")</f>
        <v>View Full Record in Web of Science</v>
      </c>
    </row>
    <row r="736" spans="1:72" x14ac:dyDescent="0.15">
      <c r="A736" t="s">
        <v>72</v>
      </c>
      <c r="B736" t="s">
        <v>11250</v>
      </c>
      <c r="C736" t="s">
        <v>74</v>
      </c>
      <c r="D736" t="s">
        <v>74</v>
      </c>
      <c r="E736" t="s">
        <v>74</v>
      </c>
      <c r="F736" t="s">
        <v>11250</v>
      </c>
      <c r="G736" t="s">
        <v>74</v>
      </c>
      <c r="H736" t="s">
        <v>74</v>
      </c>
      <c r="I736" t="s">
        <v>11251</v>
      </c>
      <c r="J736" t="s">
        <v>3963</v>
      </c>
      <c r="K736" t="s">
        <v>74</v>
      </c>
      <c r="L736" t="s">
        <v>74</v>
      </c>
      <c r="M736" t="s">
        <v>78</v>
      </c>
      <c r="N736" t="s">
        <v>1226</v>
      </c>
      <c r="O736" t="s">
        <v>11252</v>
      </c>
      <c r="P736" t="s">
        <v>11253</v>
      </c>
      <c r="Q736" t="s">
        <v>11254</v>
      </c>
      <c r="R736" t="s">
        <v>74</v>
      </c>
      <c r="S736" t="s">
        <v>74</v>
      </c>
      <c r="T736" t="s">
        <v>74</v>
      </c>
      <c r="U736" t="s">
        <v>11255</v>
      </c>
      <c r="V736" t="s">
        <v>11256</v>
      </c>
      <c r="W736" t="s">
        <v>11257</v>
      </c>
      <c r="X736" t="s">
        <v>11258</v>
      </c>
      <c r="Y736" t="s">
        <v>11259</v>
      </c>
      <c r="Z736" t="s">
        <v>11260</v>
      </c>
      <c r="AA736" t="s">
        <v>11261</v>
      </c>
      <c r="AB736" t="s">
        <v>11262</v>
      </c>
      <c r="AC736" t="s">
        <v>74</v>
      </c>
      <c r="AD736" t="s">
        <v>74</v>
      </c>
      <c r="AE736" t="s">
        <v>74</v>
      </c>
      <c r="AF736" t="s">
        <v>74</v>
      </c>
      <c r="AG736">
        <v>117</v>
      </c>
      <c r="AH736">
        <v>90</v>
      </c>
      <c r="AI736">
        <v>108</v>
      </c>
      <c r="AJ736">
        <v>0</v>
      </c>
      <c r="AK736">
        <v>38</v>
      </c>
      <c r="AL736" t="s">
        <v>519</v>
      </c>
      <c r="AM736" t="s">
        <v>520</v>
      </c>
      <c r="AN736" t="s">
        <v>521</v>
      </c>
      <c r="AO736" t="s">
        <v>3976</v>
      </c>
      <c r="AP736" t="s">
        <v>3977</v>
      </c>
      <c r="AQ736" t="s">
        <v>74</v>
      </c>
      <c r="AR736" t="s">
        <v>3978</v>
      </c>
      <c r="AS736" t="s">
        <v>3979</v>
      </c>
      <c r="AT736" t="s">
        <v>11246</v>
      </c>
      <c r="AU736">
        <v>2006</v>
      </c>
      <c r="AV736">
        <v>231</v>
      </c>
      <c r="AW736" t="s">
        <v>765</v>
      </c>
      <c r="AX736" t="s">
        <v>74</v>
      </c>
      <c r="AY736" t="s">
        <v>74</v>
      </c>
      <c r="AZ736" t="s">
        <v>74</v>
      </c>
      <c r="BA736" t="s">
        <v>74</v>
      </c>
      <c r="BB736">
        <v>9</v>
      </c>
      <c r="BC736">
        <v>28</v>
      </c>
      <c r="BD736" t="s">
        <v>74</v>
      </c>
      <c r="BE736" t="s">
        <v>11263</v>
      </c>
      <c r="BF736" t="str">
        <f>HYPERLINK("http://dx.doi.org/10.1016/j.palaeo.2005.07.037","http://dx.doi.org/10.1016/j.palaeo.2005.07.037")</f>
        <v>http://dx.doi.org/10.1016/j.palaeo.2005.07.037</v>
      </c>
      <c r="BG736" t="s">
        <v>74</v>
      </c>
      <c r="BH736" t="s">
        <v>74</v>
      </c>
      <c r="BI736">
        <v>20</v>
      </c>
      <c r="BJ736" t="s">
        <v>3982</v>
      </c>
      <c r="BK736" t="s">
        <v>668</v>
      </c>
      <c r="BL736" t="s">
        <v>3983</v>
      </c>
      <c r="BM736" t="s">
        <v>11248</v>
      </c>
      <c r="BN736" t="s">
        <v>74</v>
      </c>
      <c r="BO736" t="s">
        <v>74</v>
      </c>
      <c r="BP736" t="s">
        <v>74</v>
      </c>
      <c r="BQ736" t="s">
        <v>74</v>
      </c>
      <c r="BR736" t="s">
        <v>100</v>
      </c>
      <c r="BS736" t="s">
        <v>11264</v>
      </c>
      <c r="BT736" t="str">
        <f>HYPERLINK("https%3A%2F%2Fwww.webofscience.com%2Fwos%2Fwoscc%2Ffull-record%2FWOS:000235849900002","View Full Record in Web of Science")</f>
        <v>View Full Record in Web of Science</v>
      </c>
    </row>
    <row r="737" spans="1:72" x14ac:dyDescent="0.15">
      <c r="A737" t="s">
        <v>72</v>
      </c>
      <c r="B737" t="s">
        <v>11265</v>
      </c>
      <c r="C737" t="s">
        <v>74</v>
      </c>
      <c r="D737" t="s">
        <v>74</v>
      </c>
      <c r="E737" t="s">
        <v>74</v>
      </c>
      <c r="F737" t="s">
        <v>11265</v>
      </c>
      <c r="G737" t="s">
        <v>74</v>
      </c>
      <c r="H737" t="s">
        <v>74</v>
      </c>
      <c r="I737" t="s">
        <v>11266</v>
      </c>
      <c r="J737" t="s">
        <v>3963</v>
      </c>
      <c r="K737" t="s">
        <v>74</v>
      </c>
      <c r="L737" t="s">
        <v>74</v>
      </c>
      <c r="M737" t="s">
        <v>78</v>
      </c>
      <c r="N737" t="s">
        <v>1226</v>
      </c>
      <c r="O737" t="s">
        <v>11252</v>
      </c>
      <c r="P737" t="s">
        <v>11253</v>
      </c>
      <c r="Q737" t="s">
        <v>11254</v>
      </c>
      <c r="R737" t="s">
        <v>74</v>
      </c>
      <c r="S737" t="s">
        <v>74</v>
      </c>
      <c r="T737" t="s">
        <v>11267</v>
      </c>
      <c r="U737" t="s">
        <v>11268</v>
      </c>
      <c r="V737" t="s">
        <v>11269</v>
      </c>
      <c r="W737" t="s">
        <v>11270</v>
      </c>
      <c r="X737" t="s">
        <v>11271</v>
      </c>
      <c r="Y737" t="s">
        <v>11272</v>
      </c>
      <c r="Z737" t="s">
        <v>11273</v>
      </c>
      <c r="AA737" t="s">
        <v>74</v>
      </c>
      <c r="AB737" t="s">
        <v>74</v>
      </c>
      <c r="AC737" t="s">
        <v>74</v>
      </c>
      <c r="AD737" t="s">
        <v>74</v>
      </c>
      <c r="AE737" t="s">
        <v>74</v>
      </c>
      <c r="AF737" t="s">
        <v>74</v>
      </c>
      <c r="AG737">
        <v>59</v>
      </c>
      <c r="AH737">
        <v>86</v>
      </c>
      <c r="AI737">
        <v>98</v>
      </c>
      <c r="AJ737">
        <v>0</v>
      </c>
      <c r="AK737">
        <v>16</v>
      </c>
      <c r="AL737" t="s">
        <v>519</v>
      </c>
      <c r="AM737" t="s">
        <v>520</v>
      </c>
      <c r="AN737" t="s">
        <v>521</v>
      </c>
      <c r="AO737" t="s">
        <v>3976</v>
      </c>
      <c r="AP737" t="s">
        <v>3977</v>
      </c>
      <c r="AQ737" t="s">
        <v>74</v>
      </c>
      <c r="AR737" t="s">
        <v>3978</v>
      </c>
      <c r="AS737" t="s">
        <v>3979</v>
      </c>
      <c r="AT737" t="s">
        <v>11246</v>
      </c>
      <c r="AU737">
        <v>2006</v>
      </c>
      <c r="AV737">
        <v>231</v>
      </c>
      <c r="AW737" t="s">
        <v>765</v>
      </c>
      <c r="AX737" t="s">
        <v>74</v>
      </c>
      <c r="AY737" t="s">
        <v>74</v>
      </c>
      <c r="AZ737" t="s">
        <v>74</v>
      </c>
      <c r="BA737" t="s">
        <v>74</v>
      </c>
      <c r="BB737">
        <v>29</v>
      </c>
      <c r="BC737">
        <v>40</v>
      </c>
      <c r="BD737" t="s">
        <v>74</v>
      </c>
      <c r="BE737" t="s">
        <v>11274</v>
      </c>
      <c r="BF737" t="str">
        <f>HYPERLINK("http://dx.doi.org/10.1016/j.palaeo.2005.07.024","http://dx.doi.org/10.1016/j.palaeo.2005.07.024")</f>
        <v>http://dx.doi.org/10.1016/j.palaeo.2005.07.024</v>
      </c>
      <c r="BG737" t="s">
        <v>74</v>
      </c>
      <c r="BH737" t="s">
        <v>74</v>
      </c>
      <c r="BI737">
        <v>12</v>
      </c>
      <c r="BJ737" t="s">
        <v>3982</v>
      </c>
      <c r="BK737" t="s">
        <v>668</v>
      </c>
      <c r="BL737" t="s">
        <v>3983</v>
      </c>
      <c r="BM737" t="s">
        <v>11248</v>
      </c>
      <c r="BN737" t="s">
        <v>74</v>
      </c>
      <c r="BO737" t="s">
        <v>99</v>
      </c>
      <c r="BP737" t="s">
        <v>74</v>
      </c>
      <c r="BQ737" t="s">
        <v>74</v>
      </c>
      <c r="BR737" t="s">
        <v>100</v>
      </c>
      <c r="BS737" t="s">
        <v>11275</v>
      </c>
      <c r="BT737" t="str">
        <f>HYPERLINK("https%3A%2F%2Fwww.webofscience.com%2Fwos%2Fwoscc%2Ffull-record%2FWOS:000235849900003","View Full Record in Web of Science")</f>
        <v>View Full Record in Web of Science</v>
      </c>
    </row>
    <row r="738" spans="1:72" x14ac:dyDescent="0.15">
      <c r="A738" t="s">
        <v>72</v>
      </c>
      <c r="B738" t="s">
        <v>11276</v>
      </c>
      <c r="C738" t="s">
        <v>74</v>
      </c>
      <c r="D738" t="s">
        <v>74</v>
      </c>
      <c r="E738" t="s">
        <v>74</v>
      </c>
      <c r="F738" t="s">
        <v>11276</v>
      </c>
      <c r="G738" t="s">
        <v>74</v>
      </c>
      <c r="H738" t="s">
        <v>74</v>
      </c>
      <c r="I738" t="s">
        <v>11277</v>
      </c>
      <c r="J738" t="s">
        <v>3963</v>
      </c>
      <c r="K738" t="s">
        <v>74</v>
      </c>
      <c r="L738" t="s">
        <v>74</v>
      </c>
      <c r="M738" t="s">
        <v>78</v>
      </c>
      <c r="N738" t="s">
        <v>1226</v>
      </c>
      <c r="O738" t="s">
        <v>11252</v>
      </c>
      <c r="P738" t="s">
        <v>11253</v>
      </c>
      <c r="Q738" t="s">
        <v>11254</v>
      </c>
      <c r="R738" t="s">
        <v>74</v>
      </c>
      <c r="S738" t="s">
        <v>74</v>
      </c>
      <c r="T738" t="s">
        <v>11278</v>
      </c>
      <c r="U738" t="s">
        <v>11279</v>
      </c>
      <c r="V738" t="s">
        <v>11280</v>
      </c>
      <c r="W738" t="s">
        <v>11281</v>
      </c>
      <c r="X738" t="s">
        <v>11282</v>
      </c>
      <c r="Y738" t="s">
        <v>11283</v>
      </c>
      <c r="Z738" t="s">
        <v>11284</v>
      </c>
      <c r="AA738" t="s">
        <v>11285</v>
      </c>
      <c r="AB738" t="s">
        <v>11286</v>
      </c>
      <c r="AC738" t="s">
        <v>74</v>
      </c>
      <c r="AD738" t="s">
        <v>74</v>
      </c>
      <c r="AE738" t="s">
        <v>74</v>
      </c>
      <c r="AF738" t="s">
        <v>74</v>
      </c>
      <c r="AG738">
        <v>59</v>
      </c>
      <c r="AH738">
        <v>41</v>
      </c>
      <c r="AI738">
        <v>50</v>
      </c>
      <c r="AJ738">
        <v>0</v>
      </c>
      <c r="AK738">
        <v>9</v>
      </c>
      <c r="AL738" t="s">
        <v>519</v>
      </c>
      <c r="AM738" t="s">
        <v>520</v>
      </c>
      <c r="AN738" t="s">
        <v>521</v>
      </c>
      <c r="AO738" t="s">
        <v>3976</v>
      </c>
      <c r="AP738" t="s">
        <v>3977</v>
      </c>
      <c r="AQ738" t="s">
        <v>74</v>
      </c>
      <c r="AR738" t="s">
        <v>3978</v>
      </c>
      <c r="AS738" t="s">
        <v>3979</v>
      </c>
      <c r="AT738" t="s">
        <v>11246</v>
      </c>
      <c r="AU738">
        <v>2006</v>
      </c>
      <c r="AV738">
        <v>231</v>
      </c>
      <c r="AW738" t="s">
        <v>765</v>
      </c>
      <c r="AX738" t="s">
        <v>74</v>
      </c>
      <c r="AY738" t="s">
        <v>74</v>
      </c>
      <c r="AZ738" t="s">
        <v>74</v>
      </c>
      <c r="BA738" t="s">
        <v>74</v>
      </c>
      <c r="BB738">
        <v>41</v>
      </c>
      <c r="BC738">
        <v>57</v>
      </c>
      <c r="BD738" t="s">
        <v>74</v>
      </c>
      <c r="BE738" t="s">
        <v>11287</v>
      </c>
      <c r="BF738" t="str">
        <f>HYPERLINK("http://dx.doi.org/10.1016/j.palaeo.2005.07.025","http://dx.doi.org/10.1016/j.palaeo.2005.07.025")</f>
        <v>http://dx.doi.org/10.1016/j.palaeo.2005.07.025</v>
      </c>
      <c r="BG738" t="s">
        <v>74</v>
      </c>
      <c r="BH738" t="s">
        <v>74</v>
      </c>
      <c r="BI738">
        <v>17</v>
      </c>
      <c r="BJ738" t="s">
        <v>3982</v>
      </c>
      <c r="BK738" t="s">
        <v>668</v>
      </c>
      <c r="BL738" t="s">
        <v>3983</v>
      </c>
      <c r="BM738" t="s">
        <v>11248</v>
      </c>
      <c r="BN738" t="s">
        <v>74</v>
      </c>
      <c r="BO738" t="s">
        <v>74</v>
      </c>
      <c r="BP738" t="s">
        <v>74</v>
      </c>
      <c r="BQ738" t="s">
        <v>74</v>
      </c>
      <c r="BR738" t="s">
        <v>100</v>
      </c>
      <c r="BS738" t="s">
        <v>11288</v>
      </c>
      <c r="BT738" t="str">
        <f>HYPERLINK("https%3A%2F%2Fwww.webofscience.com%2Fwos%2Fwoscc%2Ffull-record%2FWOS:000235849900004","View Full Record in Web of Science")</f>
        <v>View Full Record in Web of Science</v>
      </c>
    </row>
    <row r="739" spans="1:72" x14ac:dyDescent="0.15">
      <c r="A739" t="s">
        <v>72</v>
      </c>
      <c r="B739" t="s">
        <v>11289</v>
      </c>
      <c r="C739" t="s">
        <v>74</v>
      </c>
      <c r="D739" t="s">
        <v>74</v>
      </c>
      <c r="E739" t="s">
        <v>74</v>
      </c>
      <c r="F739" t="s">
        <v>11289</v>
      </c>
      <c r="G739" t="s">
        <v>74</v>
      </c>
      <c r="H739" t="s">
        <v>74</v>
      </c>
      <c r="I739" t="s">
        <v>11290</v>
      </c>
      <c r="J739" t="s">
        <v>3963</v>
      </c>
      <c r="K739" t="s">
        <v>74</v>
      </c>
      <c r="L739" t="s">
        <v>74</v>
      </c>
      <c r="M739" t="s">
        <v>78</v>
      </c>
      <c r="N739" t="s">
        <v>1226</v>
      </c>
      <c r="O739" t="s">
        <v>11252</v>
      </c>
      <c r="P739" t="s">
        <v>11253</v>
      </c>
      <c r="Q739" t="s">
        <v>11254</v>
      </c>
      <c r="R739" t="s">
        <v>74</v>
      </c>
      <c r="S739" t="s">
        <v>74</v>
      </c>
      <c r="T739" t="s">
        <v>11291</v>
      </c>
      <c r="U739" t="s">
        <v>11292</v>
      </c>
      <c r="V739" t="s">
        <v>11293</v>
      </c>
      <c r="W739" t="s">
        <v>11294</v>
      </c>
      <c r="X739" t="s">
        <v>11295</v>
      </c>
      <c r="Y739" t="s">
        <v>11296</v>
      </c>
      <c r="Z739" t="s">
        <v>11297</v>
      </c>
      <c r="AA739" t="s">
        <v>11298</v>
      </c>
      <c r="AB739" t="s">
        <v>11299</v>
      </c>
      <c r="AC739" t="s">
        <v>74</v>
      </c>
      <c r="AD739" t="s">
        <v>74</v>
      </c>
      <c r="AE739" t="s">
        <v>74</v>
      </c>
      <c r="AF739" t="s">
        <v>74</v>
      </c>
      <c r="AG739">
        <v>59</v>
      </c>
      <c r="AH739">
        <v>9</v>
      </c>
      <c r="AI739">
        <v>12</v>
      </c>
      <c r="AJ739">
        <v>0</v>
      </c>
      <c r="AK739">
        <v>3</v>
      </c>
      <c r="AL739" t="s">
        <v>1261</v>
      </c>
      <c r="AM739" t="s">
        <v>520</v>
      </c>
      <c r="AN739" t="s">
        <v>1262</v>
      </c>
      <c r="AO739" t="s">
        <v>3976</v>
      </c>
      <c r="AP739" t="s">
        <v>74</v>
      </c>
      <c r="AQ739" t="s">
        <v>74</v>
      </c>
      <c r="AR739" t="s">
        <v>3978</v>
      </c>
      <c r="AS739" t="s">
        <v>3979</v>
      </c>
      <c r="AT739" t="s">
        <v>11246</v>
      </c>
      <c r="AU739">
        <v>2006</v>
      </c>
      <c r="AV739">
        <v>231</v>
      </c>
      <c r="AW739" t="s">
        <v>765</v>
      </c>
      <c r="AX739" t="s">
        <v>74</v>
      </c>
      <c r="AY739" t="s">
        <v>74</v>
      </c>
      <c r="AZ739" t="s">
        <v>74</v>
      </c>
      <c r="BA739" t="s">
        <v>74</v>
      </c>
      <c r="BB739">
        <v>58</v>
      </c>
      <c r="BC739">
        <v>70</v>
      </c>
      <c r="BD739" t="s">
        <v>74</v>
      </c>
      <c r="BE739" t="s">
        <v>11300</v>
      </c>
      <c r="BF739" t="str">
        <f>HYPERLINK("http://dx.doi.org/10.1016/j.palaeo.2005.07.026","http://dx.doi.org/10.1016/j.palaeo.2005.07.026")</f>
        <v>http://dx.doi.org/10.1016/j.palaeo.2005.07.026</v>
      </c>
      <c r="BG739" t="s">
        <v>74</v>
      </c>
      <c r="BH739" t="s">
        <v>74</v>
      </c>
      <c r="BI739">
        <v>13</v>
      </c>
      <c r="BJ739" t="s">
        <v>3982</v>
      </c>
      <c r="BK739" t="s">
        <v>668</v>
      </c>
      <c r="BL739" t="s">
        <v>3983</v>
      </c>
      <c r="BM739" t="s">
        <v>11248</v>
      </c>
      <c r="BN739" t="s">
        <v>74</v>
      </c>
      <c r="BO739" t="s">
        <v>99</v>
      </c>
      <c r="BP739" t="s">
        <v>74</v>
      </c>
      <c r="BQ739" t="s">
        <v>74</v>
      </c>
      <c r="BR739" t="s">
        <v>100</v>
      </c>
      <c r="BS739" t="s">
        <v>11301</v>
      </c>
      <c r="BT739" t="str">
        <f>HYPERLINK("https%3A%2F%2Fwww.webofscience.com%2Fwos%2Fwoscc%2Ffull-record%2FWOS:000235849900005","View Full Record in Web of Science")</f>
        <v>View Full Record in Web of Science</v>
      </c>
    </row>
    <row r="740" spans="1:72" x14ac:dyDescent="0.15">
      <c r="A740" t="s">
        <v>72</v>
      </c>
      <c r="B740" t="s">
        <v>11302</v>
      </c>
      <c r="C740" t="s">
        <v>74</v>
      </c>
      <c r="D740" t="s">
        <v>74</v>
      </c>
      <c r="E740" t="s">
        <v>74</v>
      </c>
      <c r="F740" t="s">
        <v>11302</v>
      </c>
      <c r="G740" t="s">
        <v>74</v>
      </c>
      <c r="H740" t="s">
        <v>74</v>
      </c>
      <c r="I740" t="s">
        <v>11303</v>
      </c>
      <c r="J740" t="s">
        <v>3963</v>
      </c>
      <c r="K740" t="s">
        <v>74</v>
      </c>
      <c r="L740" t="s">
        <v>74</v>
      </c>
      <c r="M740" t="s">
        <v>78</v>
      </c>
      <c r="N740" t="s">
        <v>1226</v>
      </c>
      <c r="O740" t="s">
        <v>11252</v>
      </c>
      <c r="P740" t="s">
        <v>11253</v>
      </c>
      <c r="Q740" t="s">
        <v>11254</v>
      </c>
      <c r="R740" t="s">
        <v>74</v>
      </c>
      <c r="S740" t="s">
        <v>74</v>
      </c>
      <c r="T740" t="s">
        <v>11304</v>
      </c>
      <c r="U740" t="s">
        <v>11305</v>
      </c>
      <c r="V740" t="s">
        <v>11306</v>
      </c>
      <c r="W740" t="s">
        <v>11307</v>
      </c>
      <c r="X740" t="s">
        <v>11308</v>
      </c>
      <c r="Y740" t="s">
        <v>11309</v>
      </c>
      <c r="Z740" t="s">
        <v>11310</v>
      </c>
      <c r="AA740" t="s">
        <v>74</v>
      </c>
      <c r="AB740" t="s">
        <v>74</v>
      </c>
      <c r="AC740" t="s">
        <v>74</v>
      </c>
      <c r="AD740" t="s">
        <v>74</v>
      </c>
      <c r="AE740" t="s">
        <v>74</v>
      </c>
      <c r="AF740" t="s">
        <v>74</v>
      </c>
      <c r="AG740">
        <v>33</v>
      </c>
      <c r="AH740">
        <v>14</v>
      </c>
      <c r="AI740">
        <v>16</v>
      </c>
      <c r="AJ740">
        <v>1</v>
      </c>
      <c r="AK740">
        <v>9</v>
      </c>
      <c r="AL740" t="s">
        <v>519</v>
      </c>
      <c r="AM740" t="s">
        <v>520</v>
      </c>
      <c r="AN740" t="s">
        <v>521</v>
      </c>
      <c r="AO740" t="s">
        <v>3976</v>
      </c>
      <c r="AP740" t="s">
        <v>3977</v>
      </c>
      <c r="AQ740" t="s">
        <v>74</v>
      </c>
      <c r="AR740" t="s">
        <v>3978</v>
      </c>
      <c r="AS740" t="s">
        <v>3979</v>
      </c>
      <c r="AT740" t="s">
        <v>11246</v>
      </c>
      <c r="AU740">
        <v>2006</v>
      </c>
      <c r="AV740">
        <v>231</v>
      </c>
      <c r="AW740" t="s">
        <v>765</v>
      </c>
      <c r="AX740" t="s">
        <v>74</v>
      </c>
      <c r="AY740" t="s">
        <v>74</v>
      </c>
      <c r="AZ740" t="s">
        <v>74</v>
      </c>
      <c r="BA740" t="s">
        <v>74</v>
      </c>
      <c r="BB740">
        <v>71</v>
      </c>
      <c r="BC740">
        <v>100</v>
      </c>
      <c r="BD740" t="s">
        <v>74</v>
      </c>
      <c r="BE740" t="s">
        <v>11311</v>
      </c>
      <c r="BF740" t="str">
        <f>HYPERLINK("http://dx.doi.org/10.1016/j.palaeo.2005.07.036","http://dx.doi.org/10.1016/j.palaeo.2005.07.036")</f>
        <v>http://dx.doi.org/10.1016/j.palaeo.2005.07.036</v>
      </c>
      <c r="BG740" t="s">
        <v>74</v>
      </c>
      <c r="BH740" t="s">
        <v>74</v>
      </c>
      <c r="BI740">
        <v>30</v>
      </c>
      <c r="BJ740" t="s">
        <v>3982</v>
      </c>
      <c r="BK740" t="s">
        <v>668</v>
      </c>
      <c r="BL740" t="s">
        <v>3983</v>
      </c>
      <c r="BM740" t="s">
        <v>11248</v>
      </c>
      <c r="BN740" t="s">
        <v>74</v>
      </c>
      <c r="BO740" t="s">
        <v>74</v>
      </c>
      <c r="BP740" t="s">
        <v>74</v>
      </c>
      <c r="BQ740" t="s">
        <v>74</v>
      </c>
      <c r="BR740" t="s">
        <v>100</v>
      </c>
      <c r="BS740" t="s">
        <v>11312</v>
      </c>
      <c r="BT740" t="str">
        <f>HYPERLINK("https%3A%2F%2Fwww.webofscience.com%2Fwos%2Fwoscc%2Ffull-record%2FWOS:000235849900006","View Full Record in Web of Science")</f>
        <v>View Full Record in Web of Science</v>
      </c>
    </row>
    <row r="741" spans="1:72" x14ac:dyDescent="0.15">
      <c r="A741" t="s">
        <v>72</v>
      </c>
      <c r="B741" t="s">
        <v>11313</v>
      </c>
      <c r="C741" t="s">
        <v>74</v>
      </c>
      <c r="D741" t="s">
        <v>74</v>
      </c>
      <c r="E741" t="s">
        <v>74</v>
      </c>
      <c r="F741" t="s">
        <v>11313</v>
      </c>
      <c r="G741" t="s">
        <v>74</v>
      </c>
      <c r="H741" t="s">
        <v>74</v>
      </c>
      <c r="I741" t="s">
        <v>11314</v>
      </c>
      <c r="J741" t="s">
        <v>3963</v>
      </c>
      <c r="K741" t="s">
        <v>74</v>
      </c>
      <c r="L741" t="s">
        <v>74</v>
      </c>
      <c r="M741" t="s">
        <v>78</v>
      </c>
      <c r="N741" t="s">
        <v>1226</v>
      </c>
      <c r="O741" t="s">
        <v>11252</v>
      </c>
      <c r="P741" t="s">
        <v>11253</v>
      </c>
      <c r="Q741" t="s">
        <v>11254</v>
      </c>
      <c r="R741" t="s">
        <v>74</v>
      </c>
      <c r="S741" t="s">
        <v>74</v>
      </c>
      <c r="T741" t="s">
        <v>11315</v>
      </c>
      <c r="U741" t="s">
        <v>11316</v>
      </c>
      <c r="V741" t="s">
        <v>11317</v>
      </c>
      <c r="W741" t="s">
        <v>11318</v>
      </c>
      <c r="X741" t="s">
        <v>11319</v>
      </c>
      <c r="Y741" t="s">
        <v>11272</v>
      </c>
      <c r="Z741" t="s">
        <v>11320</v>
      </c>
      <c r="AA741" t="s">
        <v>74</v>
      </c>
      <c r="AB741" t="s">
        <v>74</v>
      </c>
      <c r="AC741" t="s">
        <v>74</v>
      </c>
      <c r="AD741" t="s">
        <v>74</v>
      </c>
      <c r="AE741" t="s">
        <v>74</v>
      </c>
      <c r="AF741" t="s">
        <v>74</v>
      </c>
      <c r="AG741">
        <v>45</v>
      </c>
      <c r="AH741">
        <v>119</v>
      </c>
      <c r="AI741">
        <v>136</v>
      </c>
      <c r="AJ741">
        <v>0</v>
      </c>
      <c r="AK741">
        <v>23</v>
      </c>
      <c r="AL741" t="s">
        <v>519</v>
      </c>
      <c r="AM741" t="s">
        <v>520</v>
      </c>
      <c r="AN741" t="s">
        <v>521</v>
      </c>
      <c r="AO741" t="s">
        <v>3976</v>
      </c>
      <c r="AP741" t="s">
        <v>3977</v>
      </c>
      <c r="AQ741" t="s">
        <v>74</v>
      </c>
      <c r="AR741" t="s">
        <v>3978</v>
      </c>
      <c r="AS741" t="s">
        <v>3979</v>
      </c>
      <c r="AT741" t="s">
        <v>11246</v>
      </c>
      <c r="AU741">
        <v>2006</v>
      </c>
      <c r="AV741">
        <v>231</v>
      </c>
      <c r="AW741" t="s">
        <v>765</v>
      </c>
      <c r="AX741" t="s">
        <v>74</v>
      </c>
      <c r="AY741" t="s">
        <v>74</v>
      </c>
      <c r="AZ741" t="s">
        <v>74</v>
      </c>
      <c r="BA741" t="s">
        <v>74</v>
      </c>
      <c r="BB741">
        <v>101</v>
      </c>
      <c r="BC741">
        <v>109</v>
      </c>
      <c r="BD741" t="s">
        <v>74</v>
      </c>
      <c r="BE741" t="s">
        <v>11321</v>
      </c>
      <c r="BF741" t="str">
        <f>HYPERLINK("http://dx.doi.org/10.1016/j.palaeo.2005.07.027","http://dx.doi.org/10.1016/j.palaeo.2005.07.027")</f>
        <v>http://dx.doi.org/10.1016/j.palaeo.2005.07.027</v>
      </c>
      <c r="BG741" t="s">
        <v>74</v>
      </c>
      <c r="BH741" t="s">
        <v>74</v>
      </c>
      <c r="BI741">
        <v>9</v>
      </c>
      <c r="BJ741" t="s">
        <v>3982</v>
      </c>
      <c r="BK741" t="s">
        <v>668</v>
      </c>
      <c r="BL741" t="s">
        <v>3983</v>
      </c>
      <c r="BM741" t="s">
        <v>11248</v>
      </c>
      <c r="BN741" t="s">
        <v>74</v>
      </c>
      <c r="BO741" t="s">
        <v>74</v>
      </c>
      <c r="BP741" t="s">
        <v>74</v>
      </c>
      <c r="BQ741" t="s">
        <v>74</v>
      </c>
      <c r="BR741" t="s">
        <v>100</v>
      </c>
      <c r="BS741" t="s">
        <v>11322</v>
      </c>
      <c r="BT741" t="str">
        <f>HYPERLINK("https%3A%2F%2Fwww.webofscience.com%2Fwos%2Fwoscc%2Ffull-record%2FWOS:000235849900007","View Full Record in Web of Science")</f>
        <v>View Full Record in Web of Science</v>
      </c>
    </row>
    <row r="742" spans="1:72" x14ac:dyDescent="0.15">
      <c r="A742" t="s">
        <v>72</v>
      </c>
      <c r="B742" t="s">
        <v>11323</v>
      </c>
      <c r="C742" t="s">
        <v>74</v>
      </c>
      <c r="D742" t="s">
        <v>74</v>
      </c>
      <c r="E742" t="s">
        <v>74</v>
      </c>
      <c r="F742" t="s">
        <v>11323</v>
      </c>
      <c r="G742" t="s">
        <v>74</v>
      </c>
      <c r="H742" t="s">
        <v>74</v>
      </c>
      <c r="I742" t="s">
        <v>11324</v>
      </c>
      <c r="J742" t="s">
        <v>3963</v>
      </c>
      <c r="K742" t="s">
        <v>74</v>
      </c>
      <c r="L742" t="s">
        <v>74</v>
      </c>
      <c r="M742" t="s">
        <v>78</v>
      </c>
      <c r="N742" t="s">
        <v>1226</v>
      </c>
      <c r="O742" t="s">
        <v>11252</v>
      </c>
      <c r="P742" t="s">
        <v>11253</v>
      </c>
      <c r="Q742" t="s">
        <v>11254</v>
      </c>
      <c r="R742" t="s">
        <v>74</v>
      </c>
      <c r="S742" t="s">
        <v>74</v>
      </c>
      <c r="T742" t="s">
        <v>11325</v>
      </c>
      <c r="U742" t="s">
        <v>11326</v>
      </c>
      <c r="V742" t="s">
        <v>11327</v>
      </c>
      <c r="W742" t="s">
        <v>3346</v>
      </c>
      <c r="X742" t="s">
        <v>3347</v>
      </c>
      <c r="Y742" t="s">
        <v>11328</v>
      </c>
      <c r="Z742" t="s">
        <v>11329</v>
      </c>
      <c r="AA742" t="s">
        <v>74</v>
      </c>
      <c r="AB742" t="s">
        <v>11330</v>
      </c>
      <c r="AC742" t="s">
        <v>74</v>
      </c>
      <c r="AD742" t="s">
        <v>74</v>
      </c>
      <c r="AE742" t="s">
        <v>74</v>
      </c>
      <c r="AF742" t="s">
        <v>74</v>
      </c>
      <c r="AG742">
        <v>33</v>
      </c>
      <c r="AH742">
        <v>44</v>
      </c>
      <c r="AI742">
        <v>52</v>
      </c>
      <c r="AJ742">
        <v>0</v>
      </c>
      <c r="AK742">
        <v>36</v>
      </c>
      <c r="AL742" t="s">
        <v>519</v>
      </c>
      <c r="AM742" t="s">
        <v>520</v>
      </c>
      <c r="AN742" t="s">
        <v>521</v>
      </c>
      <c r="AO742" t="s">
        <v>3976</v>
      </c>
      <c r="AP742" t="s">
        <v>3977</v>
      </c>
      <c r="AQ742" t="s">
        <v>74</v>
      </c>
      <c r="AR742" t="s">
        <v>3978</v>
      </c>
      <c r="AS742" t="s">
        <v>3979</v>
      </c>
      <c r="AT742" t="s">
        <v>11246</v>
      </c>
      <c r="AU742">
        <v>2006</v>
      </c>
      <c r="AV742">
        <v>231</v>
      </c>
      <c r="AW742" t="s">
        <v>765</v>
      </c>
      <c r="AX742" t="s">
        <v>74</v>
      </c>
      <c r="AY742" t="s">
        <v>74</v>
      </c>
      <c r="AZ742" t="s">
        <v>74</v>
      </c>
      <c r="BA742" t="s">
        <v>74</v>
      </c>
      <c r="BB742">
        <v>110</v>
      </c>
      <c r="BC742">
        <v>119</v>
      </c>
      <c r="BD742" t="s">
        <v>74</v>
      </c>
      <c r="BE742" t="s">
        <v>11331</v>
      </c>
      <c r="BF742" t="str">
        <f>HYPERLINK("http://dx.doi.org/10.1016/j.palaeo.2005.07.028","http://dx.doi.org/10.1016/j.palaeo.2005.07.028")</f>
        <v>http://dx.doi.org/10.1016/j.palaeo.2005.07.028</v>
      </c>
      <c r="BG742" t="s">
        <v>74</v>
      </c>
      <c r="BH742" t="s">
        <v>74</v>
      </c>
      <c r="BI742">
        <v>10</v>
      </c>
      <c r="BJ742" t="s">
        <v>3982</v>
      </c>
      <c r="BK742" t="s">
        <v>668</v>
      </c>
      <c r="BL742" t="s">
        <v>3983</v>
      </c>
      <c r="BM742" t="s">
        <v>11248</v>
      </c>
      <c r="BN742" t="s">
        <v>74</v>
      </c>
      <c r="BO742" t="s">
        <v>74</v>
      </c>
      <c r="BP742" t="s">
        <v>74</v>
      </c>
      <c r="BQ742" t="s">
        <v>74</v>
      </c>
      <c r="BR742" t="s">
        <v>100</v>
      </c>
      <c r="BS742" t="s">
        <v>11332</v>
      </c>
      <c r="BT742" t="str">
        <f>HYPERLINK("https%3A%2F%2Fwww.webofscience.com%2Fwos%2Fwoscc%2Ffull-record%2FWOS:000235849900008","View Full Record in Web of Science")</f>
        <v>View Full Record in Web of Science</v>
      </c>
    </row>
    <row r="743" spans="1:72" x14ac:dyDescent="0.15">
      <c r="A743" t="s">
        <v>72</v>
      </c>
      <c r="B743" t="s">
        <v>11333</v>
      </c>
      <c r="C743" t="s">
        <v>74</v>
      </c>
      <c r="D743" t="s">
        <v>74</v>
      </c>
      <c r="E743" t="s">
        <v>74</v>
      </c>
      <c r="F743" t="s">
        <v>11333</v>
      </c>
      <c r="G743" t="s">
        <v>74</v>
      </c>
      <c r="H743" t="s">
        <v>74</v>
      </c>
      <c r="I743" t="s">
        <v>11334</v>
      </c>
      <c r="J743" t="s">
        <v>3963</v>
      </c>
      <c r="K743" t="s">
        <v>74</v>
      </c>
      <c r="L743" t="s">
        <v>74</v>
      </c>
      <c r="M743" t="s">
        <v>78</v>
      </c>
      <c r="N743" t="s">
        <v>1226</v>
      </c>
      <c r="O743" t="s">
        <v>11252</v>
      </c>
      <c r="P743" t="s">
        <v>11253</v>
      </c>
      <c r="Q743" t="s">
        <v>11254</v>
      </c>
      <c r="R743" t="s">
        <v>74</v>
      </c>
      <c r="S743" t="s">
        <v>74</v>
      </c>
      <c r="T743" t="s">
        <v>11335</v>
      </c>
      <c r="U743" t="s">
        <v>74</v>
      </c>
      <c r="V743" t="s">
        <v>11336</v>
      </c>
      <c r="W743" t="s">
        <v>11337</v>
      </c>
      <c r="X743" t="s">
        <v>674</v>
      </c>
      <c r="Y743" t="s">
        <v>11338</v>
      </c>
      <c r="Z743" t="s">
        <v>11339</v>
      </c>
      <c r="AA743" t="s">
        <v>11298</v>
      </c>
      <c r="AB743" t="s">
        <v>11340</v>
      </c>
      <c r="AC743" t="s">
        <v>74</v>
      </c>
      <c r="AD743" t="s">
        <v>74</v>
      </c>
      <c r="AE743" t="s">
        <v>74</v>
      </c>
      <c r="AF743" t="s">
        <v>74</v>
      </c>
      <c r="AG743">
        <v>21</v>
      </c>
      <c r="AH743">
        <v>33</v>
      </c>
      <c r="AI743">
        <v>38</v>
      </c>
      <c r="AJ743">
        <v>0</v>
      </c>
      <c r="AK743">
        <v>11</v>
      </c>
      <c r="AL743" t="s">
        <v>1261</v>
      </c>
      <c r="AM743" t="s">
        <v>520</v>
      </c>
      <c r="AN743" t="s">
        <v>1262</v>
      </c>
      <c r="AO743" t="s">
        <v>3976</v>
      </c>
      <c r="AP743" t="s">
        <v>74</v>
      </c>
      <c r="AQ743" t="s">
        <v>74</v>
      </c>
      <c r="AR743" t="s">
        <v>3978</v>
      </c>
      <c r="AS743" t="s">
        <v>3979</v>
      </c>
      <c r="AT743" t="s">
        <v>11246</v>
      </c>
      <c r="AU743">
        <v>2006</v>
      </c>
      <c r="AV743">
        <v>231</v>
      </c>
      <c r="AW743" t="s">
        <v>765</v>
      </c>
      <c r="AX743" t="s">
        <v>74</v>
      </c>
      <c r="AY743" t="s">
        <v>74</v>
      </c>
      <c r="AZ743" t="s">
        <v>74</v>
      </c>
      <c r="BA743" t="s">
        <v>74</v>
      </c>
      <c r="BB743">
        <v>120</v>
      </c>
      <c r="BC743">
        <v>133</v>
      </c>
      <c r="BD743" t="s">
        <v>74</v>
      </c>
      <c r="BE743" t="s">
        <v>11341</v>
      </c>
      <c r="BF743" t="str">
        <f>HYPERLINK("http://dx.doi.org/10.1016/j.palaeo.2005.07.029","http://dx.doi.org/10.1016/j.palaeo.2005.07.029")</f>
        <v>http://dx.doi.org/10.1016/j.palaeo.2005.07.029</v>
      </c>
      <c r="BG743" t="s">
        <v>74</v>
      </c>
      <c r="BH743" t="s">
        <v>74</v>
      </c>
      <c r="BI743">
        <v>14</v>
      </c>
      <c r="BJ743" t="s">
        <v>3982</v>
      </c>
      <c r="BK743" t="s">
        <v>655</v>
      </c>
      <c r="BL743" t="s">
        <v>3983</v>
      </c>
      <c r="BM743" t="s">
        <v>11248</v>
      </c>
      <c r="BN743" t="s">
        <v>74</v>
      </c>
      <c r="BO743" t="s">
        <v>74</v>
      </c>
      <c r="BP743" t="s">
        <v>74</v>
      </c>
      <c r="BQ743" t="s">
        <v>74</v>
      </c>
      <c r="BR743" t="s">
        <v>100</v>
      </c>
      <c r="BS743" t="s">
        <v>11342</v>
      </c>
      <c r="BT743" t="str">
        <f>HYPERLINK("https%3A%2F%2Fwww.webofscience.com%2Fwos%2Fwoscc%2Ffull-record%2FWOS:000235849900009","View Full Record in Web of Science")</f>
        <v>View Full Record in Web of Science</v>
      </c>
    </row>
    <row r="744" spans="1:72" x14ac:dyDescent="0.15">
      <c r="A744" t="s">
        <v>72</v>
      </c>
      <c r="B744" t="s">
        <v>11343</v>
      </c>
      <c r="C744" t="s">
        <v>74</v>
      </c>
      <c r="D744" t="s">
        <v>74</v>
      </c>
      <c r="E744" t="s">
        <v>74</v>
      </c>
      <c r="F744" t="s">
        <v>11343</v>
      </c>
      <c r="G744" t="s">
        <v>74</v>
      </c>
      <c r="H744" t="s">
        <v>74</v>
      </c>
      <c r="I744" t="s">
        <v>11344</v>
      </c>
      <c r="J744" t="s">
        <v>3963</v>
      </c>
      <c r="K744" t="s">
        <v>74</v>
      </c>
      <c r="L744" t="s">
        <v>74</v>
      </c>
      <c r="M744" t="s">
        <v>78</v>
      </c>
      <c r="N744" t="s">
        <v>1226</v>
      </c>
      <c r="O744" t="s">
        <v>11252</v>
      </c>
      <c r="P744" t="s">
        <v>11253</v>
      </c>
      <c r="Q744" t="s">
        <v>11254</v>
      </c>
      <c r="R744" t="s">
        <v>74</v>
      </c>
      <c r="S744" t="s">
        <v>74</v>
      </c>
      <c r="T744" t="s">
        <v>11345</v>
      </c>
      <c r="U744" t="s">
        <v>11346</v>
      </c>
      <c r="V744" t="s">
        <v>11347</v>
      </c>
      <c r="W744" t="s">
        <v>11348</v>
      </c>
      <c r="X744" t="s">
        <v>11349</v>
      </c>
      <c r="Y744" t="s">
        <v>11350</v>
      </c>
      <c r="Z744" t="s">
        <v>11351</v>
      </c>
      <c r="AA744" t="s">
        <v>74</v>
      </c>
      <c r="AB744" t="s">
        <v>11352</v>
      </c>
      <c r="AC744" t="s">
        <v>74</v>
      </c>
      <c r="AD744" t="s">
        <v>74</v>
      </c>
      <c r="AE744" t="s">
        <v>74</v>
      </c>
      <c r="AF744" t="s">
        <v>74</v>
      </c>
      <c r="AG744">
        <v>79</v>
      </c>
      <c r="AH744">
        <v>44</v>
      </c>
      <c r="AI744">
        <v>48</v>
      </c>
      <c r="AJ744">
        <v>0</v>
      </c>
      <c r="AK744">
        <v>27</v>
      </c>
      <c r="AL744" t="s">
        <v>519</v>
      </c>
      <c r="AM744" t="s">
        <v>520</v>
      </c>
      <c r="AN744" t="s">
        <v>521</v>
      </c>
      <c r="AO744" t="s">
        <v>3976</v>
      </c>
      <c r="AP744" t="s">
        <v>3977</v>
      </c>
      <c r="AQ744" t="s">
        <v>74</v>
      </c>
      <c r="AR744" t="s">
        <v>3978</v>
      </c>
      <c r="AS744" t="s">
        <v>3979</v>
      </c>
      <c r="AT744" t="s">
        <v>11246</v>
      </c>
      <c r="AU744">
        <v>2006</v>
      </c>
      <c r="AV744">
        <v>231</v>
      </c>
      <c r="AW744" t="s">
        <v>765</v>
      </c>
      <c r="AX744" t="s">
        <v>74</v>
      </c>
      <c r="AY744" t="s">
        <v>74</v>
      </c>
      <c r="AZ744" t="s">
        <v>74</v>
      </c>
      <c r="BA744" t="s">
        <v>74</v>
      </c>
      <c r="BB744">
        <v>134</v>
      </c>
      <c r="BC744">
        <v>157</v>
      </c>
      <c r="BD744" t="s">
        <v>74</v>
      </c>
      <c r="BE744" t="s">
        <v>11353</v>
      </c>
      <c r="BF744" t="str">
        <f>HYPERLINK("http://dx.doi.org/10.1016/j.palaeo.2005.07.032","http://dx.doi.org/10.1016/j.palaeo.2005.07.032")</f>
        <v>http://dx.doi.org/10.1016/j.palaeo.2005.07.032</v>
      </c>
      <c r="BG744" t="s">
        <v>74</v>
      </c>
      <c r="BH744" t="s">
        <v>74</v>
      </c>
      <c r="BI744">
        <v>24</v>
      </c>
      <c r="BJ744" t="s">
        <v>3982</v>
      </c>
      <c r="BK744" t="s">
        <v>668</v>
      </c>
      <c r="BL744" t="s">
        <v>3983</v>
      </c>
      <c r="BM744" t="s">
        <v>11248</v>
      </c>
      <c r="BN744" t="s">
        <v>74</v>
      </c>
      <c r="BO744" t="s">
        <v>74</v>
      </c>
      <c r="BP744" t="s">
        <v>74</v>
      </c>
      <c r="BQ744" t="s">
        <v>74</v>
      </c>
      <c r="BR744" t="s">
        <v>100</v>
      </c>
      <c r="BS744" t="s">
        <v>11354</v>
      </c>
      <c r="BT744" t="str">
        <f>HYPERLINK("https%3A%2F%2Fwww.webofscience.com%2Fwos%2Fwoscc%2Ffull-record%2FWOS:000235849900010","View Full Record in Web of Science")</f>
        <v>View Full Record in Web of Science</v>
      </c>
    </row>
    <row r="745" spans="1:72" x14ac:dyDescent="0.15">
      <c r="A745" t="s">
        <v>72</v>
      </c>
      <c r="B745" t="s">
        <v>11355</v>
      </c>
      <c r="C745" t="s">
        <v>74</v>
      </c>
      <c r="D745" t="s">
        <v>74</v>
      </c>
      <c r="E745" t="s">
        <v>74</v>
      </c>
      <c r="F745" t="s">
        <v>11355</v>
      </c>
      <c r="G745" t="s">
        <v>74</v>
      </c>
      <c r="H745" t="s">
        <v>74</v>
      </c>
      <c r="I745" t="s">
        <v>11356</v>
      </c>
      <c r="J745" t="s">
        <v>3963</v>
      </c>
      <c r="K745" t="s">
        <v>74</v>
      </c>
      <c r="L745" t="s">
        <v>74</v>
      </c>
      <c r="M745" t="s">
        <v>78</v>
      </c>
      <c r="N745" t="s">
        <v>1226</v>
      </c>
      <c r="O745" t="s">
        <v>11252</v>
      </c>
      <c r="P745" t="s">
        <v>11253</v>
      </c>
      <c r="Q745" t="s">
        <v>11254</v>
      </c>
      <c r="R745" t="s">
        <v>74</v>
      </c>
      <c r="S745" t="s">
        <v>74</v>
      </c>
      <c r="T745" t="s">
        <v>11357</v>
      </c>
      <c r="U745" t="s">
        <v>11358</v>
      </c>
      <c r="V745" t="s">
        <v>11359</v>
      </c>
      <c r="W745" t="s">
        <v>11360</v>
      </c>
      <c r="X745" t="s">
        <v>835</v>
      </c>
      <c r="Y745" t="s">
        <v>11361</v>
      </c>
      <c r="Z745" t="s">
        <v>11362</v>
      </c>
      <c r="AA745" t="s">
        <v>11363</v>
      </c>
      <c r="AB745" t="s">
        <v>11364</v>
      </c>
      <c r="AC745" t="s">
        <v>74</v>
      </c>
      <c r="AD745" t="s">
        <v>74</v>
      </c>
      <c r="AE745" t="s">
        <v>74</v>
      </c>
      <c r="AF745" t="s">
        <v>74</v>
      </c>
      <c r="AG745">
        <v>50</v>
      </c>
      <c r="AH745">
        <v>42</v>
      </c>
      <c r="AI745">
        <v>50</v>
      </c>
      <c r="AJ745">
        <v>0</v>
      </c>
      <c r="AK745">
        <v>10</v>
      </c>
      <c r="AL745" t="s">
        <v>1261</v>
      </c>
      <c r="AM745" t="s">
        <v>520</v>
      </c>
      <c r="AN745" t="s">
        <v>1262</v>
      </c>
      <c r="AO745" t="s">
        <v>3976</v>
      </c>
      <c r="AP745" t="s">
        <v>3977</v>
      </c>
      <c r="AQ745" t="s">
        <v>74</v>
      </c>
      <c r="AR745" t="s">
        <v>3978</v>
      </c>
      <c r="AS745" t="s">
        <v>3979</v>
      </c>
      <c r="AT745" t="s">
        <v>11246</v>
      </c>
      <c r="AU745">
        <v>2006</v>
      </c>
      <c r="AV745">
        <v>231</v>
      </c>
      <c r="AW745" t="s">
        <v>765</v>
      </c>
      <c r="AX745" t="s">
        <v>74</v>
      </c>
      <c r="AY745" t="s">
        <v>74</v>
      </c>
      <c r="AZ745" t="s">
        <v>74</v>
      </c>
      <c r="BA745" t="s">
        <v>74</v>
      </c>
      <c r="BB745">
        <v>158</v>
      </c>
      <c r="BC745" t="s">
        <v>7504</v>
      </c>
      <c r="BD745" t="s">
        <v>74</v>
      </c>
      <c r="BE745" t="s">
        <v>11365</v>
      </c>
      <c r="BF745" t="str">
        <f>HYPERLINK("http://dx.doi.org/10.1016/j.palaeo.2005.07.033","http://dx.doi.org/10.1016/j.palaeo.2005.07.033")</f>
        <v>http://dx.doi.org/10.1016/j.palaeo.2005.07.033</v>
      </c>
      <c r="BG745" t="s">
        <v>74</v>
      </c>
      <c r="BH745" t="s">
        <v>74</v>
      </c>
      <c r="BI745">
        <v>9</v>
      </c>
      <c r="BJ745" t="s">
        <v>3982</v>
      </c>
      <c r="BK745" t="s">
        <v>668</v>
      </c>
      <c r="BL745" t="s">
        <v>3983</v>
      </c>
      <c r="BM745" t="s">
        <v>11248</v>
      </c>
      <c r="BN745" t="s">
        <v>74</v>
      </c>
      <c r="BO745" t="s">
        <v>74</v>
      </c>
      <c r="BP745" t="s">
        <v>74</v>
      </c>
      <c r="BQ745" t="s">
        <v>74</v>
      </c>
      <c r="BR745" t="s">
        <v>100</v>
      </c>
      <c r="BS745" t="s">
        <v>11366</v>
      </c>
      <c r="BT745" t="str">
        <f>HYPERLINK("https%3A%2F%2Fwww.webofscience.com%2Fwos%2Fwoscc%2Ffull-record%2FWOS:000235849900011","View Full Record in Web of Science")</f>
        <v>View Full Record in Web of Science</v>
      </c>
    </row>
    <row r="746" spans="1:72" x14ac:dyDescent="0.15">
      <c r="A746" t="s">
        <v>72</v>
      </c>
      <c r="B746" t="s">
        <v>11367</v>
      </c>
      <c r="C746" t="s">
        <v>74</v>
      </c>
      <c r="D746" t="s">
        <v>74</v>
      </c>
      <c r="E746" t="s">
        <v>74</v>
      </c>
      <c r="F746" t="s">
        <v>11367</v>
      </c>
      <c r="G746" t="s">
        <v>74</v>
      </c>
      <c r="H746" t="s">
        <v>74</v>
      </c>
      <c r="I746" t="s">
        <v>11368</v>
      </c>
      <c r="J746" t="s">
        <v>3963</v>
      </c>
      <c r="K746" t="s">
        <v>74</v>
      </c>
      <c r="L746" t="s">
        <v>74</v>
      </c>
      <c r="M746" t="s">
        <v>78</v>
      </c>
      <c r="N746" t="s">
        <v>1226</v>
      </c>
      <c r="O746" t="s">
        <v>11252</v>
      </c>
      <c r="P746" t="s">
        <v>11253</v>
      </c>
      <c r="Q746" t="s">
        <v>11254</v>
      </c>
      <c r="R746" t="s">
        <v>74</v>
      </c>
      <c r="S746" t="s">
        <v>74</v>
      </c>
      <c r="T746" t="s">
        <v>11369</v>
      </c>
      <c r="U746" t="s">
        <v>11370</v>
      </c>
      <c r="V746" t="s">
        <v>11371</v>
      </c>
      <c r="W746" t="s">
        <v>11372</v>
      </c>
      <c r="X746" t="s">
        <v>11373</v>
      </c>
      <c r="Y746" t="s">
        <v>11374</v>
      </c>
      <c r="Z746" t="s">
        <v>11375</v>
      </c>
      <c r="AA746" t="s">
        <v>11376</v>
      </c>
      <c r="AB746" t="s">
        <v>11377</v>
      </c>
      <c r="AC746" t="s">
        <v>74</v>
      </c>
      <c r="AD746" t="s">
        <v>74</v>
      </c>
      <c r="AE746" t="s">
        <v>74</v>
      </c>
      <c r="AF746" t="s">
        <v>74</v>
      </c>
      <c r="AG746">
        <v>77</v>
      </c>
      <c r="AH746">
        <v>34</v>
      </c>
      <c r="AI746">
        <v>39</v>
      </c>
      <c r="AJ746">
        <v>0</v>
      </c>
      <c r="AK746">
        <v>8</v>
      </c>
      <c r="AL746" t="s">
        <v>519</v>
      </c>
      <c r="AM746" t="s">
        <v>520</v>
      </c>
      <c r="AN746" t="s">
        <v>521</v>
      </c>
      <c r="AO746" t="s">
        <v>3976</v>
      </c>
      <c r="AP746" t="s">
        <v>3977</v>
      </c>
      <c r="AQ746" t="s">
        <v>74</v>
      </c>
      <c r="AR746" t="s">
        <v>3978</v>
      </c>
      <c r="AS746" t="s">
        <v>3979</v>
      </c>
      <c r="AT746" t="s">
        <v>11246</v>
      </c>
      <c r="AU746">
        <v>2006</v>
      </c>
      <c r="AV746">
        <v>231</v>
      </c>
      <c r="AW746" t="s">
        <v>765</v>
      </c>
      <c r="AX746" t="s">
        <v>74</v>
      </c>
      <c r="AY746" t="s">
        <v>74</v>
      </c>
      <c r="AZ746" t="s">
        <v>74</v>
      </c>
      <c r="BA746" t="s">
        <v>74</v>
      </c>
      <c r="BB746">
        <v>181</v>
      </c>
      <c r="BC746">
        <v>198</v>
      </c>
      <c r="BD746" t="s">
        <v>74</v>
      </c>
      <c r="BE746" t="s">
        <v>11378</v>
      </c>
      <c r="BF746" t="str">
        <f>HYPERLINK("http://dx.doi.org/10.1016/j.palaeo.2005.07.030","http://dx.doi.org/10.1016/j.palaeo.2005.07.030")</f>
        <v>http://dx.doi.org/10.1016/j.palaeo.2005.07.030</v>
      </c>
      <c r="BG746" t="s">
        <v>74</v>
      </c>
      <c r="BH746" t="s">
        <v>74</v>
      </c>
      <c r="BI746">
        <v>18</v>
      </c>
      <c r="BJ746" t="s">
        <v>3982</v>
      </c>
      <c r="BK746" t="s">
        <v>668</v>
      </c>
      <c r="BL746" t="s">
        <v>3983</v>
      </c>
      <c r="BM746" t="s">
        <v>11248</v>
      </c>
      <c r="BN746" t="s">
        <v>74</v>
      </c>
      <c r="BO746" t="s">
        <v>74</v>
      </c>
      <c r="BP746" t="s">
        <v>74</v>
      </c>
      <c r="BQ746" t="s">
        <v>74</v>
      </c>
      <c r="BR746" t="s">
        <v>100</v>
      </c>
      <c r="BS746" t="s">
        <v>11379</v>
      </c>
      <c r="BT746" t="str">
        <f>HYPERLINK("https%3A%2F%2Fwww.webofscience.com%2Fwos%2Fwoscc%2Ffull-record%2FWOS:000235849900013","View Full Record in Web of Science")</f>
        <v>View Full Record in Web of Science</v>
      </c>
    </row>
    <row r="747" spans="1:72" x14ac:dyDescent="0.15">
      <c r="A747" t="s">
        <v>72</v>
      </c>
      <c r="B747" t="s">
        <v>11380</v>
      </c>
      <c r="C747" t="s">
        <v>74</v>
      </c>
      <c r="D747" t="s">
        <v>74</v>
      </c>
      <c r="E747" t="s">
        <v>74</v>
      </c>
      <c r="F747" t="s">
        <v>11380</v>
      </c>
      <c r="G747" t="s">
        <v>74</v>
      </c>
      <c r="H747" t="s">
        <v>74</v>
      </c>
      <c r="I747" t="s">
        <v>11381</v>
      </c>
      <c r="J747" t="s">
        <v>3963</v>
      </c>
      <c r="K747" t="s">
        <v>74</v>
      </c>
      <c r="L747" t="s">
        <v>74</v>
      </c>
      <c r="M747" t="s">
        <v>78</v>
      </c>
      <c r="N747" t="s">
        <v>1226</v>
      </c>
      <c r="O747" t="s">
        <v>11252</v>
      </c>
      <c r="P747" t="s">
        <v>11253</v>
      </c>
      <c r="Q747" t="s">
        <v>11254</v>
      </c>
      <c r="R747" t="s">
        <v>74</v>
      </c>
      <c r="S747" t="s">
        <v>74</v>
      </c>
      <c r="T747" t="s">
        <v>11382</v>
      </c>
      <c r="U747" t="s">
        <v>11383</v>
      </c>
      <c r="V747" t="s">
        <v>11384</v>
      </c>
      <c r="W747" t="s">
        <v>11385</v>
      </c>
      <c r="X747" t="s">
        <v>11386</v>
      </c>
      <c r="Y747" t="s">
        <v>7928</v>
      </c>
      <c r="Z747" t="s">
        <v>11387</v>
      </c>
      <c r="AA747" t="s">
        <v>74</v>
      </c>
      <c r="AB747" t="s">
        <v>74</v>
      </c>
      <c r="AC747" t="s">
        <v>2283</v>
      </c>
      <c r="AD747" t="s">
        <v>413</v>
      </c>
      <c r="AE747" t="s">
        <v>74</v>
      </c>
      <c r="AF747" t="s">
        <v>74</v>
      </c>
      <c r="AG747">
        <v>73</v>
      </c>
      <c r="AH747">
        <v>26</v>
      </c>
      <c r="AI747">
        <v>27</v>
      </c>
      <c r="AJ747">
        <v>0</v>
      </c>
      <c r="AK747">
        <v>5</v>
      </c>
      <c r="AL747" t="s">
        <v>519</v>
      </c>
      <c r="AM747" t="s">
        <v>520</v>
      </c>
      <c r="AN747" t="s">
        <v>521</v>
      </c>
      <c r="AO747" t="s">
        <v>3976</v>
      </c>
      <c r="AP747" t="s">
        <v>3977</v>
      </c>
      <c r="AQ747" t="s">
        <v>74</v>
      </c>
      <c r="AR747" t="s">
        <v>3978</v>
      </c>
      <c r="AS747" t="s">
        <v>3979</v>
      </c>
      <c r="AT747" t="s">
        <v>11246</v>
      </c>
      <c r="AU747">
        <v>2006</v>
      </c>
      <c r="AV747">
        <v>231</v>
      </c>
      <c r="AW747" t="s">
        <v>765</v>
      </c>
      <c r="AX747" t="s">
        <v>74</v>
      </c>
      <c r="AY747" t="s">
        <v>74</v>
      </c>
      <c r="AZ747" t="s">
        <v>74</v>
      </c>
      <c r="BA747" t="s">
        <v>74</v>
      </c>
      <c r="BB747">
        <v>233</v>
      </c>
      <c r="BC747">
        <v>252</v>
      </c>
      <c r="BD747" t="s">
        <v>74</v>
      </c>
      <c r="BE747" t="s">
        <v>11388</v>
      </c>
      <c r="BF747" t="str">
        <f>HYPERLINK("http://dx.doi.org/10.1016/j.palaeo.2005.07.035","http://dx.doi.org/10.1016/j.palaeo.2005.07.035")</f>
        <v>http://dx.doi.org/10.1016/j.palaeo.2005.07.035</v>
      </c>
      <c r="BG747" t="s">
        <v>74</v>
      </c>
      <c r="BH747" t="s">
        <v>74</v>
      </c>
      <c r="BI747">
        <v>20</v>
      </c>
      <c r="BJ747" t="s">
        <v>3982</v>
      </c>
      <c r="BK747" t="s">
        <v>668</v>
      </c>
      <c r="BL747" t="s">
        <v>3983</v>
      </c>
      <c r="BM747" t="s">
        <v>11248</v>
      </c>
      <c r="BN747" t="s">
        <v>74</v>
      </c>
      <c r="BO747" t="s">
        <v>74</v>
      </c>
      <c r="BP747" t="s">
        <v>74</v>
      </c>
      <c r="BQ747" t="s">
        <v>74</v>
      </c>
      <c r="BR747" t="s">
        <v>100</v>
      </c>
      <c r="BS747" t="s">
        <v>11389</v>
      </c>
      <c r="BT747" t="str">
        <f>HYPERLINK("https%3A%2F%2Fwww.webofscience.com%2Fwos%2Fwoscc%2Ffull-record%2FWOS:000235849900016","View Full Record in Web of Science")</f>
        <v>View Full Record in Web of Science</v>
      </c>
    </row>
    <row r="748" spans="1:72" x14ac:dyDescent="0.15">
      <c r="A748" t="s">
        <v>72</v>
      </c>
      <c r="B748" t="s">
        <v>11390</v>
      </c>
      <c r="C748" t="s">
        <v>74</v>
      </c>
      <c r="D748" t="s">
        <v>74</v>
      </c>
      <c r="E748" t="s">
        <v>74</v>
      </c>
      <c r="F748" t="s">
        <v>11390</v>
      </c>
      <c r="G748" t="s">
        <v>74</v>
      </c>
      <c r="H748" t="s">
        <v>74</v>
      </c>
      <c r="I748" t="s">
        <v>11391</v>
      </c>
      <c r="J748" t="s">
        <v>1748</v>
      </c>
      <c r="K748" t="s">
        <v>74</v>
      </c>
      <c r="L748" t="s">
        <v>74</v>
      </c>
      <c r="M748" t="s">
        <v>78</v>
      </c>
      <c r="N748" t="s">
        <v>79</v>
      </c>
      <c r="O748" t="s">
        <v>74</v>
      </c>
      <c r="P748" t="s">
        <v>74</v>
      </c>
      <c r="Q748" t="s">
        <v>74</v>
      </c>
      <c r="R748" t="s">
        <v>74</v>
      </c>
      <c r="S748" t="s">
        <v>74</v>
      </c>
      <c r="T748" t="s">
        <v>74</v>
      </c>
      <c r="U748" t="s">
        <v>11392</v>
      </c>
      <c r="V748" t="s">
        <v>11393</v>
      </c>
      <c r="W748" t="s">
        <v>11394</v>
      </c>
      <c r="X748" t="s">
        <v>74</v>
      </c>
      <c r="Y748" t="s">
        <v>11395</v>
      </c>
      <c r="Z748" t="s">
        <v>11396</v>
      </c>
      <c r="AA748" t="s">
        <v>11397</v>
      </c>
      <c r="AB748" t="s">
        <v>11398</v>
      </c>
      <c r="AC748" t="s">
        <v>74</v>
      </c>
      <c r="AD748" t="s">
        <v>74</v>
      </c>
      <c r="AE748" t="s">
        <v>74</v>
      </c>
      <c r="AF748" t="s">
        <v>74</v>
      </c>
      <c r="AG748">
        <v>32</v>
      </c>
      <c r="AH748">
        <v>41</v>
      </c>
      <c r="AI748">
        <v>41</v>
      </c>
      <c r="AJ748">
        <v>0</v>
      </c>
      <c r="AK748">
        <v>4</v>
      </c>
      <c r="AL748" t="s">
        <v>1757</v>
      </c>
      <c r="AM748" t="s">
        <v>88</v>
      </c>
      <c r="AN748" t="s">
        <v>1758</v>
      </c>
      <c r="AO748" t="s">
        <v>1759</v>
      </c>
      <c r="AP748" t="s">
        <v>1760</v>
      </c>
      <c r="AQ748" t="s">
        <v>74</v>
      </c>
      <c r="AR748" t="s">
        <v>1761</v>
      </c>
      <c r="AS748" t="s">
        <v>1762</v>
      </c>
      <c r="AT748" t="s">
        <v>11399</v>
      </c>
      <c r="AU748">
        <v>2006</v>
      </c>
      <c r="AV748">
        <v>33</v>
      </c>
      <c r="AW748">
        <v>3</v>
      </c>
      <c r="AX748" t="s">
        <v>74</v>
      </c>
      <c r="AY748" t="s">
        <v>74</v>
      </c>
      <c r="AZ748" t="s">
        <v>74</v>
      </c>
      <c r="BA748" t="s">
        <v>74</v>
      </c>
      <c r="BB748" t="s">
        <v>74</v>
      </c>
      <c r="BC748" t="s">
        <v>74</v>
      </c>
      <c r="BD748" t="s">
        <v>11400</v>
      </c>
      <c r="BE748" t="s">
        <v>11401</v>
      </c>
      <c r="BF748" t="str">
        <f>HYPERLINK("http://dx.doi.org/10.1029/2005GL024741","http://dx.doi.org/10.1029/2005GL024741")</f>
        <v>http://dx.doi.org/10.1029/2005GL024741</v>
      </c>
      <c r="BG748" t="s">
        <v>74</v>
      </c>
      <c r="BH748" t="s">
        <v>74</v>
      </c>
      <c r="BI748">
        <v>4</v>
      </c>
      <c r="BJ748" t="s">
        <v>527</v>
      </c>
      <c r="BK748" t="s">
        <v>97</v>
      </c>
      <c r="BL748" t="s">
        <v>528</v>
      </c>
      <c r="BM748" t="s">
        <v>11402</v>
      </c>
      <c r="BN748" t="s">
        <v>74</v>
      </c>
      <c r="BO748" t="s">
        <v>460</v>
      </c>
      <c r="BP748" t="s">
        <v>74</v>
      </c>
      <c r="BQ748" t="s">
        <v>74</v>
      </c>
      <c r="BR748" t="s">
        <v>100</v>
      </c>
      <c r="BS748" t="s">
        <v>11403</v>
      </c>
      <c r="BT748" t="str">
        <f>HYPERLINK("https%3A%2F%2Fwww.webofscience.com%2Fwos%2Fwoscc%2Ffull-record%2FWOS:000235361700004","View Full Record in Web of Science")</f>
        <v>View Full Record in Web of Science</v>
      </c>
    </row>
    <row r="749" spans="1:72" x14ac:dyDescent="0.15">
      <c r="A749" t="s">
        <v>72</v>
      </c>
      <c r="B749" t="s">
        <v>11404</v>
      </c>
      <c r="C749" t="s">
        <v>74</v>
      </c>
      <c r="D749" t="s">
        <v>74</v>
      </c>
      <c r="E749" t="s">
        <v>74</v>
      </c>
      <c r="F749" t="s">
        <v>11404</v>
      </c>
      <c r="G749" t="s">
        <v>74</v>
      </c>
      <c r="H749" t="s">
        <v>74</v>
      </c>
      <c r="I749" t="s">
        <v>11405</v>
      </c>
      <c r="J749" t="s">
        <v>4250</v>
      </c>
      <c r="K749" t="s">
        <v>74</v>
      </c>
      <c r="L749" t="s">
        <v>74</v>
      </c>
      <c r="M749" t="s">
        <v>78</v>
      </c>
      <c r="N749" t="s">
        <v>79</v>
      </c>
      <c r="O749" t="s">
        <v>74</v>
      </c>
      <c r="P749" t="s">
        <v>74</v>
      </c>
      <c r="Q749" t="s">
        <v>74</v>
      </c>
      <c r="R749" t="s">
        <v>74</v>
      </c>
      <c r="S749" t="s">
        <v>74</v>
      </c>
      <c r="T749" t="s">
        <v>74</v>
      </c>
      <c r="U749" t="s">
        <v>11406</v>
      </c>
      <c r="V749" t="s">
        <v>11407</v>
      </c>
      <c r="W749" t="s">
        <v>11408</v>
      </c>
      <c r="X749" t="s">
        <v>11409</v>
      </c>
      <c r="Y749" t="s">
        <v>11410</v>
      </c>
      <c r="Z749" t="s">
        <v>11411</v>
      </c>
      <c r="AA749" t="s">
        <v>74</v>
      </c>
      <c r="AB749" t="s">
        <v>74</v>
      </c>
      <c r="AC749" t="s">
        <v>74</v>
      </c>
      <c r="AD749" t="s">
        <v>74</v>
      </c>
      <c r="AE749" t="s">
        <v>74</v>
      </c>
      <c r="AF749" t="s">
        <v>74</v>
      </c>
      <c r="AG749">
        <v>37</v>
      </c>
      <c r="AH749">
        <v>27</v>
      </c>
      <c r="AI749">
        <v>30</v>
      </c>
      <c r="AJ749">
        <v>0</v>
      </c>
      <c r="AK749">
        <v>4</v>
      </c>
      <c r="AL749" t="s">
        <v>1757</v>
      </c>
      <c r="AM749" t="s">
        <v>88</v>
      </c>
      <c r="AN749" t="s">
        <v>1758</v>
      </c>
      <c r="AO749" t="s">
        <v>4258</v>
      </c>
      <c r="AP749" t="s">
        <v>4259</v>
      </c>
      <c r="AQ749" t="s">
        <v>74</v>
      </c>
      <c r="AR749" t="s">
        <v>4260</v>
      </c>
      <c r="AS749" t="s">
        <v>4261</v>
      </c>
      <c r="AT749" t="s">
        <v>11399</v>
      </c>
      <c r="AU749">
        <v>2006</v>
      </c>
      <c r="AV749">
        <v>111</v>
      </c>
      <c r="AW749" t="s">
        <v>10765</v>
      </c>
      <c r="AX749" t="s">
        <v>74</v>
      </c>
      <c r="AY749" t="s">
        <v>74</v>
      </c>
      <c r="AZ749" t="s">
        <v>74</v>
      </c>
      <c r="BA749" t="s">
        <v>74</v>
      </c>
      <c r="BB749" t="s">
        <v>74</v>
      </c>
      <c r="BC749" t="s">
        <v>74</v>
      </c>
      <c r="BD749" t="s">
        <v>11412</v>
      </c>
      <c r="BE749" t="s">
        <v>11413</v>
      </c>
      <c r="BF749" t="str">
        <f>HYPERLINK("http://dx.doi.org/10.1029/2005JB003903","http://dx.doi.org/10.1029/2005JB003903")</f>
        <v>http://dx.doi.org/10.1029/2005JB003903</v>
      </c>
      <c r="BG749" t="s">
        <v>74</v>
      </c>
      <c r="BH749" t="s">
        <v>74</v>
      </c>
      <c r="BI749">
        <v>9</v>
      </c>
      <c r="BJ749" t="s">
        <v>608</v>
      </c>
      <c r="BK749" t="s">
        <v>97</v>
      </c>
      <c r="BL749" t="s">
        <v>608</v>
      </c>
      <c r="BM749" t="s">
        <v>11414</v>
      </c>
      <c r="BN749" t="s">
        <v>74</v>
      </c>
      <c r="BO749" t="s">
        <v>164</v>
      </c>
      <c r="BP749" t="s">
        <v>74</v>
      </c>
      <c r="BQ749" t="s">
        <v>74</v>
      </c>
      <c r="BR749" t="s">
        <v>100</v>
      </c>
      <c r="BS749" t="s">
        <v>11415</v>
      </c>
      <c r="BT749" t="str">
        <f>HYPERLINK("https%3A%2F%2Fwww.webofscience.com%2Fwos%2Fwoscc%2Ffull-record%2FWOS:000235364000004","View Full Record in Web of Science")</f>
        <v>View Full Record in Web of Science</v>
      </c>
    </row>
    <row r="750" spans="1:72" x14ac:dyDescent="0.15">
      <c r="A750" t="s">
        <v>72</v>
      </c>
      <c r="B750" t="s">
        <v>11416</v>
      </c>
      <c r="C750" t="s">
        <v>74</v>
      </c>
      <c r="D750" t="s">
        <v>74</v>
      </c>
      <c r="E750" t="s">
        <v>74</v>
      </c>
      <c r="F750" t="s">
        <v>11416</v>
      </c>
      <c r="G750" t="s">
        <v>74</v>
      </c>
      <c r="H750" t="s">
        <v>74</v>
      </c>
      <c r="I750" t="s">
        <v>11417</v>
      </c>
      <c r="J750" t="s">
        <v>9522</v>
      </c>
      <c r="K750" t="s">
        <v>74</v>
      </c>
      <c r="L750" t="s">
        <v>74</v>
      </c>
      <c r="M750" t="s">
        <v>78</v>
      </c>
      <c r="N750" t="s">
        <v>5078</v>
      </c>
      <c r="O750" t="s">
        <v>74</v>
      </c>
      <c r="P750" t="s">
        <v>74</v>
      </c>
      <c r="Q750" t="s">
        <v>74</v>
      </c>
      <c r="R750" t="s">
        <v>74</v>
      </c>
      <c r="S750" t="s">
        <v>74</v>
      </c>
      <c r="T750" t="s">
        <v>74</v>
      </c>
      <c r="U750" t="s">
        <v>11418</v>
      </c>
      <c r="V750" t="s">
        <v>74</v>
      </c>
      <c r="W750" t="s">
        <v>11419</v>
      </c>
      <c r="X750" t="s">
        <v>11420</v>
      </c>
      <c r="Y750" t="s">
        <v>7528</v>
      </c>
      <c r="Z750" t="s">
        <v>10429</v>
      </c>
      <c r="AA750" t="s">
        <v>74</v>
      </c>
      <c r="AB750" t="s">
        <v>11421</v>
      </c>
      <c r="AC750" t="s">
        <v>1550</v>
      </c>
      <c r="AD750" t="s">
        <v>1328</v>
      </c>
      <c r="AE750" t="s">
        <v>74</v>
      </c>
      <c r="AF750" t="s">
        <v>74</v>
      </c>
      <c r="AG750">
        <v>11</v>
      </c>
      <c r="AH750">
        <v>54</v>
      </c>
      <c r="AI750">
        <v>62</v>
      </c>
      <c r="AJ750">
        <v>1</v>
      </c>
      <c r="AK750">
        <v>16</v>
      </c>
      <c r="AL750" t="s">
        <v>9528</v>
      </c>
      <c r="AM750" t="s">
        <v>5362</v>
      </c>
      <c r="AN750" t="s">
        <v>11422</v>
      </c>
      <c r="AO750" t="s">
        <v>9530</v>
      </c>
      <c r="AP750" t="s">
        <v>11423</v>
      </c>
      <c r="AQ750" t="s">
        <v>74</v>
      </c>
      <c r="AR750" t="s">
        <v>9531</v>
      </c>
      <c r="AS750" t="s">
        <v>9532</v>
      </c>
      <c r="AT750" t="s">
        <v>11424</v>
      </c>
      <c r="AU750">
        <v>2006</v>
      </c>
      <c r="AV750">
        <v>16</v>
      </c>
      <c r="AW750">
        <v>3</v>
      </c>
      <c r="AX750" t="s">
        <v>74</v>
      </c>
      <c r="AY750" t="s">
        <v>74</v>
      </c>
      <c r="AZ750" t="s">
        <v>74</v>
      </c>
      <c r="BA750" t="s">
        <v>74</v>
      </c>
      <c r="BB750" t="s">
        <v>11425</v>
      </c>
      <c r="BC750" t="s">
        <v>11426</v>
      </c>
      <c r="BD750" t="s">
        <v>74</v>
      </c>
      <c r="BE750" t="s">
        <v>11427</v>
      </c>
      <c r="BF750" t="str">
        <f>HYPERLINK("http://dx.doi.org/10.1016/j.cub.2006.01.044","http://dx.doi.org/10.1016/j.cub.2006.01.044")</f>
        <v>http://dx.doi.org/10.1016/j.cub.2006.01.044</v>
      </c>
      <c r="BG750" t="s">
        <v>74</v>
      </c>
      <c r="BH750" t="s">
        <v>74</v>
      </c>
      <c r="BI750">
        <v>2</v>
      </c>
      <c r="BJ750" t="s">
        <v>9537</v>
      </c>
      <c r="BK750" t="s">
        <v>97</v>
      </c>
      <c r="BL750" t="s">
        <v>9538</v>
      </c>
      <c r="BM750" t="s">
        <v>11428</v>
      </c>
      <c r="BN750">
        <v>16461267</v>
      </c>
      <c r="BO750" t="s">
        <v>901</v>
      </c>
      <c r="BP750" t="s">
        <v>74</v>
      </c>
      <c r="BQ750" t="s">
        <v>74</v>
      </c>
      <c r="BR750" t="s">
        <v>100</v>
      </c>
      <c r="BS750" t="s">
        <v>11429</v>
      </c>
      <c r="BT750" t="str">
        <f>HYPERLINK("https%3A%2F%2Fwww.webofscience.com%2Fwos%2Fwoscc%2Ffull-record%2FWOS:000235347400012","View Full Record in Web of Science")</f>
        <v>View Full Record in Web of Science</v>
      </c>
    </row>
    <row r="751" spans="1:72" x14ac:dyDescent="0.15">
      <c r="A751" t="s">
        <v>72</v>
      </c>
      <c r="B751" t="s">
        <v>11430</v>
      </c>
      <c r="C751" t="s">
        <v>74</v>
      </c>
      <c r="D751" t="s">
        <v>74</v>
      </c>
      <c r="E751" t="s">
        <v>74</v>
      </c>
      <c r="F751" t="s">
        <v>11430</v>
      </c>
      <c r="G751" t="s">
        <v>74</v>
      </c>
      <c r="H751" t="s">
        <v>74</v>
      </c>
      <c r="I751" t="s">
        <v>11431</v>
      </c>
      <c r="J751" t="s">
        <v>2470</v>
      </c>
      <c r="K751" t="s">
        <v>74</v>
      </c>
      <c r="L751" t="s">
        <v>74</v>
      </c>
      <c r="M751" t="s">
        <v>78</v>
      </c>
      <c r="N751" t="s">
        <v>79</v>
      </c>
      <c r="O751" t="s">
        <v>74</v>
      </c>
      <c r="P751" t="s">
        <v>74</v>
      </c>
      <c r="Q751" t="s">
        <v>74</v>
      </c>
      <c r="R751" t="s">
        <v>74</v>
      </c>
      <c r="S751" t="s">
        <v>74</v>
      </c>
      <c r="T751" t="s">
        <v>11432</v>
      </c>
      <c r="U751" t="s">
        <v>11433</v>
      </c>
      <c r="V751" t="s">
        <v>11434</v>
      </c>
      <c r="W751" t="s">
        <v>5676</v>
      </c>
      <c r="X751" t="s">
        <v>5677</v>
      </c>
      <c r="Y751" t="s">
        <v>10622</v>
      </c>
      <c r="Z751" t="s">
        <v>11435</v>
      </c>
      <c r="AA751" t="s">
        <v>11436</v>
      </c>
      <c r="AB751" t="s">
        <v>6344</v>
      </c>
      <c r="AC751" t="s">
        <v>74</v>
      </c>
      <c r="AD751" t="s">
        <v>74</v>
      </c>
      <c r="AE751" t="s">
        <v>74</v>
      </c>
      <c r="AF751" t="s">
        <v>74</v>
      </c>
      <c r="AG751">
        <v>38</v>
      </c>
      <c r="AH751">
        <v>56</v>
      </c>
      <c r="AI751">
        <v>62</v>
      </c>
      <c r="AJ751">
        <v>1</v>
      </c>
      <c r="AK751">
        <v>18</v>
      </c>
      <c r="AL751" t="s">
        <v>519</v>
      </c>
      <c r="AM751" t="s">
        <v>520</v>
      </c>
      <c r="AN751" t="s">
        <v>521</v>
      </c>
      <c r="AO751" t="s">
        <v>2478</v>
      </c>
      <c r="AP751" t="s">
        <v>2479</v>
      </c>
      <c r="AQ751" t="s">
        <v>74</v>
      </c>
      <c r="AR751" t="s">
        <v>2480</v>
      </c>
      <c r="AS751" t="s">
        <v>2481</v>
      </c>
      <c r="AT751" t="s">
        <v>11424</v>
      </c>
      <c r="AU751">
        <v>2006</v>
      </c>
      <c r="AV751">
        <v>329</v>
      </c>
      <c r="AW751">
        <v>1</v>
      </c>
      <c r="AX751" t="s">
        <v>74</v>
      </c>
      <c r="AY751" t="s">
        <v>74</v>
      </c>
      <c r="AZ751" t="s">
        <v>74</v>
      </c>
      <c r="BA751" t="s">
        <v>74</v>
      </c>
      <c r="BB751">
        <v>55</v>
      </c>
      <c r="BC751">
        <v>65</v>
      </c>
      <c r="BD751" t="s">
        <v>74</v>
      </c>
      <c r="BE751" t="s">
        <v>11437</v>
      </c>
      <c r="BF751" t="str">
        <f>HYPERLINK("http://dx.doi.org/10.1016/j.jembe.2005.08.013","http://dx.doi.org/10.1016/j.jembe.2005.08.013")</f>
        <v>http://dx.doi.org/10.1016/j.jembe.2005.08.013</v>
      </c>
      <c r="BG751" t="s">
        <v>74</v>
      </c>
      <c r="BH751" t="s">
        <v>74</v>
      </c>
      <c r="BI751">
        <v>11</v>
      </c>
      <c r="BJ751" t="s">
        <v>2483</v>
      </c>
      <c r="BK751" t="s">
        <v>97</v>
      </c>
      <c r="BL751" t="s">
        <v>1288</v>
      </c>
      <c r="BM751" t="s">
        <v>11438</v>
      </c>
      <c r="BN751" t="s">
        <v>74</v>
      </c>
      <c r="BO751" t="s">
        <v>74</v>
      </c>
      <c r="BP751" t="s">
        <v>74</v>
      </c>
      <c r="BQ751" t="s">
        <v>74</v>
      </c>
      <c r="BR751" t="s">
        <v>100</v>
      </c>
      <c r="BS751" t="s">
        <v>11439</v>
      </c>
      <c r="BT751" t="str">
        <f>HYPERLINK("https%3A%2F%2Fwww.webofscience.com%2Fwos%2Fwoscc%2Ffull-record%2FWOS:000235397500006","View Full Record in Web of Science")</f>
        <v>View Full Record in Web of Science</v>
      </c>
    </row>
    <row r="752" spans="1:72" x14ac:dyDescent="0.15">
      <c r="A752" t="s">
        <v>72</v>
      </c>
      <c r="B752" t="s">
        <v>11440</v>
      </c>
      <c r="C752" t="s">
        <v>74</v>
      </c>
      <c r="D752" t="s">
        <v>74</v>
      </c>
      <c r="E752" t="s">
        <v>74</v>
      </c>
      <c r="F752" t="s">
        <v>11440</v>
      </c>
      <c r="G752" t="s">
        <v>74</v>
      </c>
      <c r="H752" t="s">
        <v>74</v>
      </c>
      <c r="I752" t="s">
        <v>11441</v>
      </c>
      <c r="J752" t="s">
        <v>2062</v>
      </c>
      <c r="K752" t="s">
        <v>74</v>
      </c>
      <c r="L752" t="s">
        <v>74</v>
      </c>
      <c r="M752" t="s">
        <v>78</v>
      </c>
      <c r="N752" t="s">
        <v>79</v>
      </c>
      <c r="O752" t="s">
        <v>74</v>
      </c>
      <c r="P752" t="s">
        <v>74</v>
      </c>
      <c r="Q752" t="s">
        <v>74</v>
      </c>
      <c r="R752" t="s">
        <v>74</v>
      </c>
      <c r="S752" t="s">
        <v>74</v>
      </c>
      <c r="T752" t="s">
        <v>11442</v>
      </c>
      <c r="U752" t="s">
        <v>11443</v>
      </c>
      <c r="V752" t="s">
        <v>11444</v>
      </c>
      <c r="W752" t="s">
        <v>11445</v>
      </c>
      <c r="X752" t="s">
        <v>11446</v>
      </c>
      <c r="Y752" t="s">
        <v>11447</v>
      </c>
      <c r="Z752" t="s">
        <v>11448</v>
      </c>
      <c r="AA752" t="s">
        <v>6005</v>
      </c>
      <c r="AB752" t="s">
        <v>6006</v>
      </c>
      <c r="AC752" t="s">
        <v>74</v>
      </c>
      <c r="AD752" t="s">
        <v>74</v>
      </c>
      <c r="AE752" t="s">
        <v>74</v>
      </c>
      <c r="AF752" t="s">
        <v>74</v>
      </c>
      <c r="AG752">
        <v>56</v>
      </c>
      <c r="AH752">
        <v>7</v>
      </c>
      <c r="AI752">
        <v>8</v>
      </c>
      <c r="AJ752">
        <v>1</v>
      </c>
      <c r="AK752">
        <v>16</v>
      </c>
      <c r="AL752" t="s">
        <v>2072</v>
      </c>
      <c r="AM752" t="s">
        <v>2073</v>
      </c>
      <c r="AN752" t="s">
        <v>2074</v>
      </c>
      <c r="AO752" t="s">
        <v>2075</v>
      </c>
      <c r="AP752" t="s">
        <v>2076</v>
      </c>
      <c r="AQ752" t="s">
        <v>74</v>
      </c>
      <c r="AR752" t="s">
        <v>2077</v>
      </c>
      <c r="AS752" t="s">
        <v>2078</v>
      </c>
      <c r="AT752" t="s">
        <v>11449</v>
      </c>
      <c r="AU752">
        <v>2006</v>
      </c>
      <c r="AV752">
        <v>42</v>
      </c>
      <c r="AW752">
        <v>1</v>
      </c>
      <c r="AX752" t="s">
        <v>74</v>
      </c>
      <c r="AY752" t="s">
        <v>74</v>
      </c>
      <c r="AZ752" t="s">
        <v>74</v>
      </c>
      <c r="BA752" t="s">
        <v>74</v>
      </c>
      <c r="BB752">
        <v>75</v>
      </c>
      <c r="BC752">
        <v>90</v>
      </c>
      <c r="BD752" t="s">
        <v>74</v>
      </c>
      <c r="BE752" t="s">
        <v>11450</v>
      </c>
      <c r="BF752" t="str">
        <f>HYPERLINK("http://dx.doi.org/10.3354/ame042075","http://dx.doi.org/10.3354/ame042075")</f>
        <v>http://dx.doi.org/10.3354/ame042075</v>
      </c>
      <c r="BG752" t="s">
        <v>74</v>
      </c>
      <c r="BH752" t="s">
        <v>74</v>
      </c>
      <c r="BI752">
        <v>16</v>
      </c>
      <c r="BJ752" t="s">
        <v>2081</v>
      </c>
      <c r="BK752" t="s">
        <v>97</v>
      </c>
      <c r="BL752" t="s">
        <v>2082</v>
      </c>
      <c r="BM752" t="s">
        <v>11451</v>
      </c>
      <c r="BN752" t="s">
        <v>74</v>
      </c>
      <c r="BO752" t="s">
        <v>460</v>
      </c>
      <c r="BP752" t="s">
        <v>74</v>
      </c>
      <c r="BQ752" t="s">
        <v>74</v>
      </c>
      <c r="BR752" t="s">
        <v>100</v>
      </c>
      <c r="BS752" t="s">
        <v>11452</v>
      </c>
      <c r="BT752" t="str">
        <f>HYPERLINK("https%3A%2F%2Fwww.webofscience.com%2Fwos%2Fwoscc%2Ffull-record%2FWOS:000235682500008","View Full Record in Web of Science")</f>
        <v>View Full Record in Web of Science</v>
      </c>
    </row>
    <row r="753" spans="1:72" x14ac:dyDescent="0.15">
      <c r="A753" t="s">
        <v>72</v>
      </c>
      <c r="B753" t="s">
        <v>11453</v>
      </c>
      <c r="C753" t="s">
        <v>74</v>
      </c>
      <c r="D753" t="s">
        <v>74</v>
      </c>
      <c r="E753" t="s">
        <v>74</v>
      </c>
      <c r="F753" t="s">
        <v>11453</v>
      </c>
      <c r="G753" t="s">
        <v>74</v>
      </c>
      <c r="H753" t="s">
        <v>74</v>
      </c>
      <c r="I753" t="s">
        <v>11454</v>
      </c>
      <c r="J753" t="s">
        <v>1772</v>
      </c>
      <c r="K753" t="s">
        <v>74</v>
      </c>
      <c r="L753" t="s">
        <v>74</v>
      </c>
      <c r="M753" t="s">
        <v>78</v>
      </c>
      <c r="N753" t="s">
        <v>79</v>
      </c>
      <c r="O753" t="s">
        <v>74</v>
      </c>
      <c r="P753" t="s">
        <v>74</v>
      </c>
      <c r="Q753" t="s">
        <v>74</v>
      </c>
      <c r="R753" t="s">
        <v>74</v>
      </c>
      <c r="S753" t="s">
        <v>74</v>
      </c>
      <c r="T753" t="s">
        <v>74</v>
      </c>
      <c r="U753" t="s">
        <v>11455</v>
      </c>
      <c r="V753" t="s">
        <v>11456</v>
      </c>
      <c r="W753" t="s">
        <v>11457</v>
      </c>
      <c r="X753" t="s">
        <v>11458</v>
      </c>
      <c r="Y753" t="s">
        <v>11459</v>
      </c>
      <c r="Z753" t="s">
        <v>11460</v>
      </c>
      <c r="AA753" t="s">
        <v>11461</v>
      </c>
      <c r="AB753" t="s">
        <v>11462</v>
      </c>
      <c r="AC753" t="s">
        <v>579</v>
      </c>
      <c r="AD753" t="s">
        <v>413</v>
      </c>
      <c r="AE753" t="s">
        <v>74</v>
      </c>
      <c r="AF753" t="s">
        <v>74</v>
      </c>
      <c r="AG753">
        <v>33</v>
      </c>
      <c r="AH753">
        <v>12</v>
      </c>
      <c r="AI753">
        <v>13</v>
      </c>
      <c r="AJ753">
        <v>0</v>
      </c>
      <c r="AK753">
        <v>6</v>
      </c>
      <c r="AL753" t="s">
        <v>1757</v>
      </c>
      <c r="AM753" t="s">
        <v>88</v>
      </c>
      <c r="AN753" t="s">
        <v>1758</v>
      </c>
      <c r="AO753" t="s">
        <v>1779</v>
      </c>
      <c r="AP753" t="s">
        <v>1780</v>
      </c>
      <c r="AQ753" t="s">
        <v>74</v>
      </c>
      <c r="AR753" t="s">
        <v>1781</v>
      </c>
      <c r="AS753" t="s">
        <v>1782</v>
      </c>
      <c r="AT753" t="s">
        <v>11463</v>
      </c>
      <c r="AU753">
        <v>2006</v>
      </c>
      <c r="AV753">
        <v>111</v>
      </c>
      <c r="AW753" t="s">
        <v>11232</v>
      </c>
      <c r="AX753" t="s">
        <v>74</v>
      </c>
      <c r="AY753" t="s">
        <v>74</v>
      </c>
      <c r="AZ753" t="s">
        <v>74</v>
      </c>
      <c r="BA753" t="s">
        <v>74</v>
      </c>
      <c r="BB753" t="s">
        <v>74</v>
      </c>
      <c r="BC753" t="s">
        <v>74</v>
      </c>
      <c r="BD753" t="s">
        <v>11464</v>
      </c>
      <c r="BE753" t="s">
        <v>11465</v>
      </c>
      <c r="BF753" t="str">
        <f>HYPERLINK("http://dx.doi.org/10.1029/2005JD006349","http://dx.doi.org/10.1029/2005JD006349")</f>
        <v>http://dx.doi.org/10.1029/2005JD006349</v>
      </c>
      <c r="BG753" t="s">
        <v>74</v>
      </c>
      <c r="BH753" t="s">
        <v>74</v>
      </c>
      <c r="BI753">
        <v>11</v>
      </c>
      <c r="BJ753" t="s">
        <v>869</v>
      </c>
      <c r="BK753" t="s">
        <v>97</v>
      </c>
      <c r="BL753" t="s">
        <v>869</v>
      </c>
      <c r="BM753" t="s">
        <v>11466</v>
      </c>
      <c r="BN753" t="s">
        <v>74</v>
      </c>
      <c r="BO753" t="s">
        <v>460</v>
      </c>
      <c r="BP753" t="s">
        <v>74</v>
      </c>
      <c r="BQ753" t="s">
        <v>74</v>
      </c>
      <c r="BR753" t="s">
        <v>100</v>
      </c>
      <c r="BS753" t="s">
        <v>11467</v>
      </c>
      <c r="BT753" t="str">
        <f>HYPERLINK("https%3A%2F%2Fwww.webofscience.com%2Fwos%2Fwoscc%2Ffull-record%2FWOS:000235157700001","View Full Record in Web of Science")</f>
        <v>View Full Record in Web of Science</v>
      </c>
    </row>
    <row r="754" spans="1:72" x14ac:dyDescent="0.15">
      <c r="A754" t="s">
        <v>72</v>
      </c>
      <c r="B754" t="s">
        <v>11468</v>
      </c>
      <c r="C754" t="s">
        <v>74</v>
      </c>
      <c r="D754" t="s">
        <v>74</v>
      </c>
      <c r="E754" t="s">
        <v>74</v>
      </c>
      <c r="F754" t="s">
        <v>11468</v>
      </c>
      <c r="G754" t="s">
        <v>74</v>
      </c>
      <c r="H754" t="s">
        <v>74</v>
      </c>
      <c r="I754" t="s">
        <v>11469</v>
      </c>
      <c r="J754" t="s">
        <v>1748</v>
      </c>
      <c r="K754" t="s">
        <v>74</v>
      </c>
      <c r="L754" t="s">
        <v>74</v>
      </c>
      <c r="M754" t="s">
        <v>78</v>
      </c>
      <c r="N754" t="s">
        <v>79</v>
      </c>
      <c r="O754" t="s">
        <v>74</v>
      </c>
      <c r="P754" t="s">
        <v>74</v>
      </c>
      <c r="Q754" t="s">
        <v>74</v>
      </c>
      <c r="R754" t="s">
        <v>74</v>
      </c>
      <c r="S754" t="s">
        <v>74</v>
      </c>
      <c r="T754" t="s">
        <v>74</v>
      </c>
      <c r="U754" t="s">
        <v>11470</v>
      </c>
      <c r="V754" t="s">
        <v>11471</v>
      </c>
      <c r="W754" t="s">
        <v>11472</v>
      </c>
      <c r="X754" t="s">
        <v>11473</v>
      </c>
      <c r="Y754" t="s">
        <v>11474</v>
      </c>
      <c r="Z754" t="s">
        <v>9379</v>
      </c>
      <c r="AA754" t="s">
        <v>11475</v>
      </c>
      <c r="AB754" t="s">
        <v>11476</v>
      </c>
      <c r="AC754" t="s">
        <v>74</v>
      </c>
      <c r="AD754" t="s">
        <v>74</v>
      </c>
      <c r="AE754" t="s">
        <v>74</v>
      </c>
      <c r="AF754" t="s">
        <v>74</v>
      </c>
      <c r="AG754">
        <v>22</v>
      </c>
      <c r="AH754">
        <v>62</v>
      </c>
      <c r="AI754">
        <v>70</v>
      </c>
      <c r="AJ754">
        <v>4</v>
      </c>
      <c r="AK754">
        <v>23</v>
      </c>
      <c r="AL754" t="s">
        <v>1757</v>
      </c>
      <c r="AM754" t="s">
        <v>88</v>
      </c>
      <c r="AN754" t="s">
        <v>1758</v>
      </c>
      <c r="AO754" t="s">
        <v>1759</v>
      </c>
      <c r="AP754" t="s">
        <v>1760</v>
      </c>
      <c r="AQ754" t="s">
        <v>74</v>
      </c>
      <c r="AR754" t="s">
        <v>1761</v>
      </c>
      <c r="AS754" t="s">
        <v>1762</v>
      </c>
      <c r="AT754" t="s">
        <v>11477</v>
      </c>
      <c r="AU754">
        <v>2006</v>
      </c>
      <c r="AV754">
        <v>33</v>
      </c>
      <c r="AW754">
        <v>3</v>
      </c>
      <c r="AX754" t="s">
        <v>74</v>
      </c>
      <c r="AY754" t="s">
        <v>74</v>
      </c>
      <c r="AZ754" t="s">
        <v>74</v>
      </c>
      <c r="BA754" t="s">
        <v>74</v>
      </c>
      <c r="BB754" t="s">
        <v>74</v>
      </c>
      <c r="BC754" t="s">
        <v>74</v>
      </c>
      <c r="BD754" t="s">
        <v>11478</v>
      </c>
      <c r="BE754" t="s">
        <v>11479</v>
      </c>
      <c r="BF754" t="str">
        <f>HYPERLINK("http://dx.doi.org/10.1029/2005GL024352","http://dx.doi.org/10.1029/2005GL024352")</f>
        <v>http://dx.doi.org/10.1029/2005GL024352</v>
      </c>
      <c r="BG754" t="s">
        <v>74</v>
      </c>
      <c r="BH754" t="s">
        <v>74</v>
      </c>
      <c r="BI754">
        <v>4</v>
      </c>
      <c r="BJ754" t="s">
        <v>527</v>
      </c>
      <c r="BK754" t="s">
        <v>97</v>
      </c>
      <c r="BL754" t="s">
        <v>528</v>
      </c>
      <c r="BM754" t="s">
        <v>11480</v>
      </c>
      <c r="BN754" t="s">
        <v>74</v>
      </c>
      <c r="BO754" t="s">
        <v>1767</v>
      </c>
      <c r="BP754" t="s">
        <v>74</v>
      </c>
      <c r="BQ754" t="s">
        <v>74</v>
      </c>
      <c r="BR754" t="s">
        <v>100</v>
      </c>
      <c r="BS754" t="s">
        <v>11481</v>
      </c>
      <c r="BT754" t="str">
        <f>HYPERLINK("https%3A%2F%2Fwww.webofscience.com%2Fwos%2Fwoscc%2Ffull-record%2FWOS:000235156600002","View Full Record in Web of Science")</f>
        <v>View Full Record in Web of Science</v>
      </c>
    </row>
    <row r="755" spans="1:72" x14ac:dyDescent="0.15">
      <c r="A755" t="s">
        <v>72</v>
      </c>
      <c r="B755" t="s">
        <v>11482</v>
      </c>
      <c r="C755" t="s">
        <v>74</v>
      </c>
      <c r="D755" t="s">
        <v>74</v>
      </c>
      <c r="E755" t="s">
        <v>74</v>
      </c>
      <c r="F755" t="s">
        <v>11482</v>
      </c>
      <c r="G755" t="s">
        <v>74</v>
      </c>
      <c r="H755" t="s">
        <v>74</v>
      </c>
      <c r="I755" t="s">
        <v>11483</v>
      </c>
      <c r="J755" t="s">
        <v>1748</v>
      </c>
      <c r="K755" t="s">
        <v>74</v>
      </c>
      <c r="L755" t="s">
        <v>74</v>
      </c>
      <c r="M755" t="s">
        <v>78</v>
      </c>
      <c r="N755" t="s">
        <v>79</v>
      </c>
      <c r="O755" t="s">
        <v>74</v>
      </c>
      <c r="P755" t="s">
        <v>74</v>
      </c>
      <c r="Q755" t="s">
        <v>74</v>
      </c>
      <c r="R755" t="s">
        <v>74</v>
      </c>
      <c r="S755" t="s">
        <v>74</v>
      </c>
      <c r="T755" t="s">
        <v>74</v>
      </c>
      <c r="U755" t="s">
        <v>11484</v>
      </c>
      <c r="V755" t="s">
        <v>11485</v>
      </c>
      <c r="W755" t="s">
        <v>11486</v>
      </c>
      <c r="X755" t="s">
        <v>1155</v>
      </c>
      <c r="Y755" t="s">
        <v>11487</v>
      </c>
      <c r="Z755" t="s">
        <v>11488</v>
      </c>
      <c r="AA755" t="s">
        <v>11489</v>
      </c>
      <c r="AB755" t="s">
        <v>11490</v>
      </c>
      <c r="AC755" t="s">
        <v>11491</v>
      </c>
      <c r="AD755" t="s">
        <v>413</v>
      </c>
      <c r="AE755" t="s">
        <v>74</v>
      </c>
      <c r="AF755" t="s">
        <v>74</v>
      </c>
      <c r="AG755">
        <v>19</v>
      </c>
      <c r="AH755">
        <v>6</v>
      </c>
      <c r="AI755">
        <v>6</v>
      </c>
      <c r="AJ755">
        <v>2</v>
      </c>
      <c r="AK755">
        <v>6</v>
      </c>
      <c r="AL755" t="s">
        <v>1757</v>
      </c>
      <c r="AM755" t="s">
        <v>88</v>
      </c>
      <c r="AN755" t="s">
        <v>1758</v>
      </c>
      <c r="AO755" t="s">
        <v>1759</v>
      </c>
      <c r="AP755" t="s">
        <v>1760</v>
      </c>
      <c r="AQ755" t="s">
        <v>74</v>
      </c>
      <c r="AR755" t="s">
        <v>1761</v>
      </c>
      <c r="AS755" t="s">
        <v>1762</v>
      </c>
      <c r="AT755" t="s">
        <v>11477</v>
      </c>
      <c r="AU755">
        <v>2006</v>
      </c>
      <c r="AV755">
        <v>33</v>
      </c>
      <c r="AW755">
        <v>3</v>
      </c>
      <c r="AX755" t="s">
        <v>74</v>
      </c>
      <c r="AY755" t="s">
        <v>74</v>
      </c>
      <c r="AZ755" t="s">
        <v>74</v>
      </c>
      <c r="BA755" t="s">
        <v>74</v>
      </c>
      <c r="BB755" t="s">
        <v>74</v>
      </c>
      <c r="BC755" t="s">
        <v>74</v>
      </c>
      <c r="BD755" t="s">
        <v>11492</v>
      </c>
      <c r="BE755" t="s">
        <v>11493</v>
      </c>
      <c r="BF755" t="str">
        <f>HYPERLINK("http://dx.doi.org/10.1029/2005GL024226","http://dx.doi.org/10.1029/2005GL024226")</f>
        <v>http://dx.doi.org/10.1029/2005GL024226</v>
      </c>
      <c r="BG755" t="s">
        <v>74</v>
      </c>
      <c r="BH755" t="s">
        <v>74</v>
      </c>
      <c r="BI755">
        <v>5</v>
      </c>
      <c r="BJ755" t="s">
        <v>527</v>
      </c>
      <c r="BK755" t="s">
        <v>97</v>
      </c>
      <c r="BL755" t="s">
        <v>528</v>
      </c>
      <c r="BM755" t="s">
        <v>11480</v>
      </c>
      <c r="BN755" t="s">
        <v>74</v>
      </c>
      <c r="BO755" t="s">
        <v>460</v>
      </c>
      <c r="BP755" t="s">
        <v>74</v>
      </c>
      <c r="BQ755" t="s">
        <v>74</v>
      </c>
      <c r="BR755" t="s">
        <v>100</v>
      </c>
      <c r="BS755" t="s">
        <v>11494</v>
      </c>
      <c r="BT755" t="str">
        <f>HYPERLINK("https%3A%2F%2Fwww.webofscience.com%2Fwos%2Fwoscc%2Ffull-record%2FWOS:000235156600001","View Full Record in Web of Science")</f>
        <v>View Full Record in Web of Science</v>
      </c>
    </row>
    <row r="756" spans="1:72" x14ac:dyDescent="0.15">
      <c r="A756" t="s">
        <v>72</v>
      </c>
      <c r="B756" t="s">
        <v>11495</v>
      </c>
      <c r="C756" t="s">
        <v>74</v>
      </c>
      <c r="D756" t="s">
        <v>74</v>
      </c>
      <c r="E756" t="s">
        <v>74</v>
      </c>
      <c r="F756" t="s">
        <v>11495</v>
      </c>
      <c r="G756" t="s">
        <v>74</v>
      </c>
      <c r="H756" t="s">
        <v>74</v>
      </c>
      <c r="I756" t="s">
        <v>11496</v>
      </c>
      <c r="J756" t="s">
        <v>11497</v>
      </c>
      <c r="K756" t="s">
        <v>74</v>
      </c>
      <c r="L756" t="s">
        <v>74</v>
      </c>
      <c r="M756" t="s">
        <v>78</v>
      </c>
      <c r="N756" t="s">
        <v>79</v>
      </c>
      <c r="O756" t="s">
        <v>74</v>
      </c>
      <c r="P756" t="s">
        <v>74</v>
      </c>
      <c r="Q756" t="s">
        <v>74</v>
      </c>
      <c r="R756" t="s">
        <v>74</v>
      </c>
      <c r="S756" t="s">
        <v>74</v>
      </c>
      <c r="T756" t="s">
        <v>11498</v>
      </c>
      <c r="U756" t="s">
        <v>11499</v>
      </c>
      <c r="V756" t="s">
        <v>11500</v>
      </c>
      <c r="W756" t="s">
        <v>11501</v>
      </c>
      <c r="X756" t="s">
        <v>11502</v>
      </c>
      <c r="Y756" t="s">
        <v>11503</v>
      </c>
      <c r="Z756" t="s">
        <v>11504</v>
      </c>
      <c r="AA756" t="s">
        <v>74</v>
      </c>
      <c r="AB756" t="s">
        <v>74</v>
      </c>
      <c r="AC756" t="s">
        <v>74</v>
      </c>
      <c r="AD756" t="s">
        <v>74</v>
      </c>
      <c r="AE756" t="s">
        <v>74</v>
      </c>
      <c r="AF756" t="s">
        <v>74</v>
      </c>
      <c r="AG756">
        <v>50</v>
      </c>
      <c r="AH756">
        <v>21</v>
      </c>
      <c r="AI756">
        <v>22</v>
      </c>
      <c r="AJ756">
        <v>0</v>
      </c>
      <c r="AK756">
        <v>2</v>
      </c>
      <c r="AL756" t="s">
        <v>11505</v>
      </c>
      <c r="AM756" t="s">
        <v>9727</v>
      </c>
      <c r="AN756" t="s">
        <v>11506</v>
      </c>
      <c r="AO756" t="s">
        <v>11507</v>
      </c>
      <c r="AP756" t="s">
        <v>74</v>
      </c>
      <c r="AQ756" t="s">
        <v>74</v>
      </c>
      <c r="AR756" t="s">
        <v>11508</v>
      </c>
      <c r="AS756" t="s">
        <v>11509</v>
      </c>
      <c r="AT756" t="s">
        <v>11510</v>
      </c>
      <c r="AU756">
        <v>2006</v>
      </c>
      <c r="AV756">
        <v>45</v>
      </c>
      <c r="AW756">
        <v>1</v>
      </c>
      <c r="AX756" t="s">
        <v>74</v>
      </c>
      <c r="AY756" t="s">
        <v>74</v>
      </c>
      <c r="AZ756" t="s">
        <v>74</v>
      </c>
      <c r="BA756" t="s">
        <v>74</v>
      </c>
      <c r="BB756">
        <v>65</v>
      </c>
      <c r="BC756">
        <v>75</v>
      </c>
      <c r="BD756" t="s">
        <v>74</v>
      </c>
      <c r="BE756" t="s">
        <v>74</v>
      </c>
      <c r="BF756" t="s">
        <v>74</v>
      </c>
      <c r="BG756" t="s">
        <v>74</v>
      </c>
      <c r="BH756" t="s">
        <v>74</v>
      </c>
      <c r="BI756">
        <v>11</v>
      </c>
      <c r="BJ756" t="s">
        <v>587</v>
      </c>
      <c r="BK756" t="s">
        <v>97</v>
      </c>
      <c r="BL756" t="s">
        <v>587</v>
      </c>
      <c r="BM756" t="s">
        <v>11511</v>
      </c>
      <c r="BN756" t="s">
        <v>74</v>
      </c>
      <c r="BO756" t="s">
        <v>74</v>
      </c>
      <c r="BP756" t="s">
        <v>74</v>
      </c>
      <c r="BQ756" t="s">
        <v>74</v>
      </c>
      <c r="BR756" t="s">
        <v>100</v>
      </c>
      <c r="BS756" t="s">
        <v>11512</v>
      </c>
      <c r="BT756" t="str">
        <f>HYPERLINK("https%3A%2F%2Fwww.webofscience.com%2Fwos%2Fwoscc%2Ffull-record%2FWOS:000235927200006","View Full Record in Web of Science")</f>
        <v>View Full Record in Web of Science</v>
      </c>
    </row>
    <row r="757" spans="1:72" x14ac:dyDescent="0.15">
      <c r="A757" t="s">
        <v>72</v>
      </c>
      <c r="B757" t="s">
        <v>11513</v>
      </c>
      <c r="C757" t="s">
        <v>74</v>
      </c>
      <c r="D757" t="s">
        <v>74</v>
      </c>
      <c r="E757" t="s">
        <v>74</v>
      </c>
      <c r="F757" t="s">
        <v>11513</v>
      </c>
      <c r="G757" t="s">
        <v>74</v>
      </c>
      <c r="H757" t="s">
        <v>74</v>
      </c>
      <c r="I757" t="s">
        <v>11514</v>
      </c>
      <c r="J757" t="s">
        <v>77</v>
      </c>
      <c r="K757" t="s">
        <v>74</v>
      </c>
      <c r="L757" t="s">
        <v>74</v>
      </c>
      <c r="M757" t="s">
        <v>78</v>
      </c>
      <c r="N757" t="s">
        <v>79</v>
      </c>
      <c r="O757" t="s">
        <v>74</v>
      </c>
      <c r="P757" t="s">
        <v>74</v>
      </c>
      <c r="Q757" t="s">
        <v>74</v>
      </c>
      <c r="R757" t="s">
        <v>74</v>
      </c>
      <c r="S757" t="s">
        <v>74</v>
      </c>
      <c r="T757" t="s">
        <v>74</v>
      </c>
      <c r="U757" t="s">
        <v>11515</v>
      </c>
      <c r="V757" t="s">
        <v>11516</v>
      </c>
      <c r="W757" t="s">
        <v>11517</v>
      </c>
      <c r="X757" t="s">
        <v>11518</v>
      </c>
      <c r="Y757" t="s">
        <v>11519</v>
      </c>
      <c r="Z757" t="s">
        <v>11520</v>
      </c>
      <c r="AA757" t="s">
        <v>74</v>
      </c>
      <c r="AB757" t="s">
        <v>11521</v>
      </c>
      <c r="AC757" t="s">
        <v>74</v>
      </c>
      <c r="AD757" t="s">
        <v>74</v>
      </c>
      <c r="AE757" t="s">
        <v>74</v>
      </c>
      <c r="AF757" t="s">
        <v>74</v>
      </c>
      <c r="AG757">
        <v>41</v>
      </c>
      <c r="AH757">
        <v>76</v>
      </c>
      <c r="AI757">
        <v>88</v>
      </c>
      <c r="AJ757">
        <v>0</v>
      </c>
      <c r="AK757">
        <v>16</v>
      </c>
      <c r="AL757" t="s">
        <v>87</v>
      </c>
      <c r="AM757" t="s">
        <v>88</v>
      </c>
      <c r="AN757" t="s">
        <v>89</v>
      </c>
      <c r="AO757" t="s">
        <v>90</v>
      </c>
      <c r="AP757" t="s">
        <v>91</v>
      </c>
      <c r="AQ757" t="s">
        <v>74</v>
      </c>
      <c r="AR757" t="s">
        <v>92</v>
      </c>
      <c r="AS757" t="s">
        <v>93</v>
      </c>
      <c r="AT757" t="s">
        <v>11510</v>
      </c>
      <c r="AU757">
        <v>2006</v>
      </c>
      <c r="AV757">
        <v>72</v>
      </c>
      <c r="AW757">
        <v>2</v>
      </c>
      <c r="AX757" t="s">
        <v>74</v>
      </c>
      <c r="AY757" t="s">
        <v>74</v>
      </c>
      <c r="AZ757" t="s">
        <v>74</v>
      </c>
      <c r="BA757" t="s">
        <v>74</v>
      </c>
      <c r="BB757">
        <v>1532</v>
      </c>
      <c r="BC757">
        <v>1541</v>
      </c>
      <c r="BD757" t="s">
        <v>74</v>
      </c>
      <c r="BE757" t="s">
        <v>11522</v>
      </c>
      <c r="BF757" t="str">
        <f>HYPERLINK("http://dx.doi.org/10.1128/AEM.72.2.1532-1541.2006","http://dx.doi.org/10.1128/AEM.72.2.1532-1541.2006")</f>
        <v>http://dx.doi.org/10.1128/AEM.72.2.1532-1541.2006</v>
      </c>
      <c r="BG757" t="s">
        <v>74</v>
      </c>
      <c r="BH757" t="s">
        <v>74</v>
      </c>
      <c r="BI757">
        <v>10</v>
      </c>
      <c r="BJ757" t="s">
        <v>96</v>
      </c>
      <c r="BK757" t="s">
        <v>97</v>
      </c>
      <c r="BL757" t="s">
        <v>96</v>
      </c>
      <c r="BM757" t="s">
        <v>11523</v>
      </c>
      <c r="BN757">
        <v>16461708</v>
      </c>
      <c r="BO757" t="s">
        <v>99</v>
      </c>
      <c r="BP757" t="s">
        <v>74</v>
      </c>
      <c r="BQ757" t="s">
        <v>74</v>
      </c>
      <c r="BR757" t="s">
        <v>100</v>
      </c>
      <c r="BS757" t="s">
        <v>11524</v>
      </c>
      <c r="BT757" t="str">
        <f>HYPERLINK("https%3A%2F%2Fwww.webofscience.com%2Fwos%2Fwoscc%2Ffull-record%2FWOS:000235353100071","View Full Record in Web of Science")</f>
        <v>View Full Record in Web of Science</v>
      </c>
    </row>
    <row r="758" spans="1:72" x14ac:dyDescent="0.15">
      <c r="A758" t="s">
        <v>72</v>
      </c>
      <c r="B758" t="s">
        <v>11525</v>
      </c>
      <c r="C758" t="s">
        <v>74</v>
      </c>
      <c r="D758" t="s">
        <v>74</v>
      </c>
      <c r="E758" t="s">
        <v>74</v>
      </c>
      <c r="F758" t="s">
        <v>11525</v>
      </c>
      <c r="G758" t="s">
        <v>74</v>
      </c>
      <c r="H758" t="s">
        <v>74</v>
      </c>
      <c r="I758" t="s">
        <v>11526</v>
      </c>
      <c r="J758" t="s">
        <v>11527</v>
      </c>
      <c r="K758" t="s">
        <v>74</v>
      </c>
      <c r="L758" t="s">
        <v>74</v>
      </c>
      <c r="M758" t="s">
        <v>78</v>
      </c>
      <c r="N758" t="s">
        <v>79</v>
      </c>
      <c r="O758" t="s">
        <v>74</v>
      </c>
      <c r="P758" t="s">
        <v>74</v>
      </c>
      <c r="Q758" t="s">
        <v>74</v>
      </c>
      <c r="R758" t="s">
        <v>74</v>
      </c>
      <c r="S758" t="s">
        <v>74</v>
      </c>
      <c r="T758" t="s">
        <v>74</v>
      </c>
      <c r="U758" t="s">
        <v>11528</v>
      </c>
      <c r="V758" t="s">
        <v>11529</v>
      </c>
      <c r="W758" t="s">
        <v>11530</v>
      </c>
      <c r="X758" t="s">
        <v>11531</v>
      </c>
      <c r="Y758" t="s">
        <v>11532</v>
      </c>
      <c r="Z758" t="s">
        <v>11533</v>
      </c>
      <c r="AA758" t="s">
        <v>11534</v>
      </c>
      <c r="AB758" t="s">
        <v>74</v>
      </c>
      <c r="AC758" t="s">
        <v>74</v>
      </c>
      <c r="AD758" t="s">
        <v>74</v>
      </c>
      <c r="AE758" t="s">
        <v>74</v>
      </c>
      <c r="AF758" t="s">
        <v>74</v>
      </c>
      <c r="AG758">
        <v>44</v>
      </c>
      <c r="AH758">
        <v>27</v>
      </c>
      <c r="AI758">
        <v>27</v>
      </c>
      <c r="AJ758">
        <v>0</v>
      </c>
      <c r="AK758">
        <v>14</v>
      </c>
      <c r="AL758" t="s">
        <v>387</v>
      </c>
      <c r="AM758" t="s">
        <v>388</v>
      </c>
      <c r="AN758" t="s">
        <v>389</v>
      </c>
      <c r="AO758" t="s">
        <v>11535</v>
      </c>
      <c r="AP758" t="s">
        <v>11536</v>
      </c>
      <c r="AQ758" t="s">
        <v>74</v>
      </c>
      <c r="AR758" t="s">
        <v>11537</v>
      </c>
      <c r="AS758" t="s">
        <v>11538</v>
      </c>
      <c r="AT758" t="s">
        <v>11510</v>
      </c>
      <c r="AU758">
        <v>2006</v>
      </c>
      <c r="AV758">
        <v>21</v>
      </c>
      <c r="AW758">
        <v>2</v>
      </c>
      <c r="AX758" t="s">
        <v>74</v>
      </c>
      <c r="AY758" t="s">
        <v>74</v>
      </c>
      <c r="AZ758" t="s">
        <v>74</v>
      </c>
      <c r="BA758" t="s">
        <v>74</v>
      </c>
      <c r="BB758">
        <v>318</v>
      </c>
      <c r="BC758">
        <v>334</v>
      </c>
      <c r="BD758" t="s">
        <v>74</v>
      </c>
      <c r="BE758" t="s">
        <v>11539</v>
      </c>
      <c r="BF758" t="str">
        <f>HYPERLINK("http://dx.doi.org/10.1016/j.apgeochem.2005.09.013","http://dx.doi.org/10.1016/j.apgeochem.2005.09.013")</f>
        <v>http://dx.doi.org/10.1016/j.apgeochem.2005.09.013</v>
      </c>
      <c r="BG758" t="s">
        <v>74</v>
      </c>
      <c r="BH758" t="s">
        <v>74</v>
      </c>
      <c r="BI758">
        <v>17</v>
      </c>
      <c r="BJ758" t="s">
        <v>608</v>
      </c>
      <c r="BK758" t="s">
        <v>97</v>
      </c>
      <c r="BL758" t="s">
        <v>608</v>
      </c>
      <c r="BM758" t="s">
        <v>11540</v>
      </c>
      <c r="BN758" t="s">
        <v>74</v>
      </c>
      <c r="BO758" t="s">
        <v>74</v>
      </c>
      <c r="BP758" t="s">
        <v>74</v>
      </c>
      <c r="BQ758" t="s">
        <v>74</v>
      </c>
      <c r="BR758" t="s">
        <v>100</v>
      </c>
      <c r="BS758" t="s">
        <v>11541</v>
      </c>
      <c r="BT758" t="str">
        <f>HYPERLINK("https%3A%2F%2Fwww.webofscience.com%2Fwos%2Fwoscc%2Ffull-record%2FWOS:000235966200008","View Full Record in Web of Science")</f>
        <v>View Full Record in Web of Science</v>
      </c>
    </row>
    <row r="759" spans="1:72" x14ac:dyDescent="0.15">
      <c r="A759" t="s">
        <v>72</v>
      </c>
      <c r="B759" t="s">
        <v>11542</v>
      </c>
      <c r="C759" t="s">
        <v>74</v>
      </c>
      <c r="D759" t="s">
        <v>74</v>
      </c>
      <c r="E759" t="s">
        <v>74</v>
      </c>
      <c r="F759" t="s">
        <v>11542</v>
      </c>
      <c r="G759" t="s">
        <v>74</v>
      </c>
      <c r="H759" t="s">
        <v>74</v>
      </c>
      <c r="I759" t="s">
        <v>11543</v>
      </c>
      <c r="J759" t="s">
        <v>129</v>
      </c>
      <c r="K759" t="s">
        <v>74</v>
      </c>
      <c r="L759" t="s">
        <v>74</v>
      </c>
      <c r="M759" t="s">
        <v>78</v>
      </c>
      <c r="N759" t="s">
        <v>79</v>
      </c>
      <c r="O759" t="s">
        <v>74</v>
      </c>
      <c r="P759" t="s">
        <v>74</v>
      </c>
      <c r="Q759" t="s">
        <v>74</v>
      </c>
      <c r="R759" t="s">
        <v>74</v>
      </c>
      <c r="S759" t="s">
        <v>74</v>
      </c>
      <c r="T759" t="s">
        <v>74</v>
      </c>
      <c r="U759" t="s">
        <v>11544</v>
      </c>
      <c r="V759" t="s">
        <v>11545</v>
      </c>
      <c r="W759" t="s">
        <v>11546</v>
      </c>
      <c r="X759" t="s">
        <v>11547</v>
      </c>
      <c r="Y759" t="s">
        <v>7782</v>
      </c>
      <c r="Z759" t="s">
        <v>11548</v>
      </c>
      <c r="AA759" t="s">
        <v>11549</v>
      </c>
      <c r="AB759" t="s">
        <v>11550</v>
      </c>
      <c r="AC759" t="s">
        <v>74</v>
      </c>
      <c r="AD759" t="s">
        <v>74</v>
      </c>
      <c r="AE759" t="s">
        <v>74</v>
      </c>
      <c r="AF759" t="s">
        <v>74</v>
      </c>
      <c r="AG759">
        <v>29</v>
      </c>
      <c r="AH759">
        <v>21</v>
      </c>
      <c r="AI759">
        <v>24</v>
      </c>
      <c r="AJ759">
        <v>0</v>
      </c>
      <c r="AK759">
        <v>10</v>
      </c>
      <c r="AL759" t="s">
        <v>136</v>
      </c>
      <c r="AM759" t="s">
        <v>137</v>
      </c>
      <c r="AN759" t="s">
        <v>138</v>
      </c>
      <c r="AO759" t="s">
        <v>139</v>
      </c>
      <c r="AP759" t="s">
        <v>140</v>
      </c>
      <c r="AQ759" t="s">
        <v>74</v>
      </c>
      <c r="AR759" t="s">
        <v>141</v>
      </c>
      <c r="AS759" t="s">
        <v>142</v>
      </c>
      <c r="AT759" t="s">
        <v>11510</v>
      </c>
      <c r="AU759">
        <v>2006</v>
      </c>
      <c r="AV759">
        <v>38</v>
      </c>
      <c r="AW759">
        <v>1</v>
      </c>
      <c r="AX759" t="s">
        <v>74</v>
      </c>
      <c r="AY759" t="s">
        <v>74</v>
      </c>
      <c r="AZ759" t="s">
        <v>74</v>
      </c>
      <c r="BA759" t="s">
        <v>74</v>
      </c>
      <c r="BB759">
        <v>1</v>
      </c>
      <c r="BC759">
        <v>12</v>
      </c>
      <c r="BD759" t="s">
        <v>74</v>
      </c>
      <c r="BE759" t="s">
        <v>11551</v>
      </c>
      <c r="BF759" t="str">
        <f>HYPERLINK("http://dx.doi.org/10.1657/1523-0430(2006)038[0001:QTMBOI]2.0.CO;2","http://dx.doi.org/10.1657/1523-0430(2006)038[0001:QTMBOI]2.0.CO;2")</f>
        <v>http://dx.doi.org/10.1657/1523-0430(2006)038[0001:QTMBOI]2.0.CO;2</v>
      </c>
      <c r="BG759" t="s">
        <v>74</v>
      </c>
      <c r="BH759" t="s">
        <v>74</v>
      </c>
      <c r="BI759">
        <v>12</v>
      </c>
      <c r="BJ759" t="s">
        <v>144</v>
      </c>
      <c r="BK759" t="s">
        <v>97</v>
      </c>
      <c r="BL759" t="s">
        <v>145</v>
      </c>
      <c r="BM759" t="s">
        <v>11552</v>
      </c>
      <c r="BN759" t="s">
        <v>74</v>
      </c>
      <c r="BO759" t="s">
        <v>147</v>
      </c>
      <c r="BP759" t="s">
        <v>74</v>
      </c>
      <c r="BQ759" t="s">
        <v>74</v>
      </c>
      <c r="BR759" t="s">
        <v>100</v>
      </c>
      <c r="BS759" t="s">
        <v>11553</v>
      </c>
      <c r="BT759" t="str">
        <f>HYPERLINK("https%3A%2F%2Fwww.webofscience.com%2Fwos%2Fwoscc%2Ffull-record%2FWOS:000235385100001","View Full Record in Web of Science")</f>
        <v>View Full Record in Web of Science</v>
      </c>
    </row>
    <row r="760" spans="1:72" x14ac:dyDescent="0.15">
      <c r="A760" t="s">
        <v>72</v>
      </c>
      <c r="B760" t="s">
        <v>11554</v>
      </c>
      <c r="C760" t="s">
        <v>74</v>
      </c>
      <c r="D760" t="s">
        <v>74</v>
      </c>
      <c r="E760" t="s">
        <v>74</v>
      </c>
      <c r="F760" t="s">
        <v>11554</v>
      </c>
      <c r="G760" t="s">
        <v>74</v>
      </c>
      <c r="H760" t="s">
        <v>74</v>
      </c>
      <c r="I760" t="s">
        <v>11555</v>
      </c>
      <c r="J760" t="s">
        <v>129</v>
      </c>
      <c r="K760" t="s">
        <v>74</v>
      </c>
      <c r="L760" t="s">
        <v>74</v>
      </c>
      <c r="M760" t="s">
        <v>78</v>
      </c>
      <c r="N760" t="s">
        <v>79</v>
      </c>
      <c r="O760" t="s">
        <v>74</v>
      </c>
      <c r="P760" t="s">
        <v>74</v>
      </c>
      <c r="Q760" t="s">
        <v>74</v>
      </c>
      <c r="R760" t="s">
        <v>74</v>
      </c>
      <c r="S760" t="s">
        <v>74</v>
      </c>
      <c r="T760" t="s">
        <v>74</v>
      </c>
      <c r="U760" t="s">
        <v>74</v>
      </c>
      <c r="V760" t="s">
        <v>11556</v>
      </c>
      <c r="W760" t="s">
        <v>11557</v>
      </c>
      <c r="X760" t="s">
        <v>2321</v>
      </c>
      <c r="Y760" t="s">
        <v>7782</v>
      </c>
      <c r="Z760" t="s">
        <v>11548</v>
      </c>
      <c r="AA760" t="s">
        <v>7688</v>
      </c>
      <c r="AB760" t="s">
        <v>11558</v>
      </c>
      <c r="AC760" t="s">
        <v>74</v>
      </c>
      <c r="AD760" t="s">
        <v>74</v>
      </c>
      <c r="AE760" t="s">
        <v>74</v>
      </c>
      <c r="AF760" t="s">
        <v>74</v>
      </c>
      <c r="AG760">
        <v>20</v>
      </c>
      <c r="AH760">
        <v>9</v>
      </c>
      <c r="AI760">
        <v>11</v>
      </c>
      <c r="AJ760">
        <v>0</v>
      </c>
      <c r="AK760">
        <v>5</v>
      </c>
      <c r="AL760" t="s">
        <v>136</v>
      </c>
      <c r="AM760" t="s">
        <v>137</v>
      </c>
      <c r="AN760" t="s">
        <v>138</v>
      </c>
      <c r="AO760" t="s">
        <v>139</v>
      </c>
      <c r="AP760" t="s">
        <v>140</v>
      </c>
      <c r="AQ760" t="s">
        <v>74</v>
      </c>
      <c r="AR760" t="s">
        <v>141</v>
      </c>
      <c r="AS760" t="s">
        <v>142</v>
      </c>
      <c r="AT760" t="s">
        <v>11510</v>
      </c>
      <c r="AU760">
        <v>2006</v>
      </c>
      <c r="AV760">
        <v>38</v>
      </c>
      <c r="AW760">
        <v>1</v>
      </c>
      <c r="AX760" t="s">
        <v>74</v>
      </c>
      <c r="AY760" t="s">
        <v>74</v>
      </c>
      <c r="AZ760" t="s">
        <v>74</v>
      </c>
      <c r="BA760" t="s">
        <v>74</v>
      </c>
      <c r="BB760">
        <v>13</v>
      </c>
      <c r="BC760">
        <v>20</v>
      </c>
      <c r="BD760" t="s">
        <v>74</v>
      </c>
      <c r="BE760" t="s">
        <v>11559</v>
      </c>
      <c r="BF760" t="str">
        <f>HYPERLINK("http://dx.doi.org/10.1657/1523-0430(2006)038[0013:QTMBOI]2.0.CO;2","http://dx.doi.org/10.1657/1523-0430(2006)038[0013:QTMBOI]2.0.CO;2")</f>
        <v>http://dx.doi.org/10.1657/1523-0430(2006)038[0013:QTMBOI]2.0.CO;2</v>
      </c>
      <c r="BG760" t="s">
        <v>74</v>
      </c>
      <c r="BH760" t="s">
        <v>74</v>
      </c>
      <c r="BI760">
        <v>8</v>
      </c>
      <c r="BJ760" t="s">
        <v>144</v>
      </c>
      <c r="BK760" t="s">
        <v>97</v>
      </c>
      <c r="BL760" t="s">
        <v>145</v>
      </c>
      <c r="BM760" t="s">
        <v>11552</v>
      </c>
      <c r="BN760" t="s">
        <v>74</v>
      </c>
      <c r="BO760" t="s">
        <v>147</v>
      </c>
      <c r="BP760" t="s">
        <v>74</v>
      </c>
      <c r="BQ760" t="s">
        <v>74</v>
      </c>
      <c r="BR760" t="s">
        <v>100</v>
      </c>
      <c r="BS760" t="s">
        <v>11560</v>
      </c>
      <c r="BT760" t="str">
        <f>HYPERLINK("https%3A%2F%2Fwww.webofscience.com%2Fwos%2Fwoscc%2Ffull-record%2FWOS:000235385100002","View Full Record in Web of Science")</f>
        <v>View Full Record in Web of Science</v>
      </c>
    </row>
    <row r="761" spans="1:72" x14ac:dyDescent="0.15">
      <c r="A761" t="s">
        <v>72</v>
      </c>
      <c r="B761" t="s">
        <v>11554</v>
      </c>
      <c r="C761" t="s">
        <v>74</v>
      </c>
      <c r="D761" t="s">
        <v>74</v>
      </c>
      <c r="E761" t="s">
        <v>74</v>
      </c>
      <c r="F761" t="s">
        <v>11554</v>
      </c>
      <c r="G761" t="s">
        <v>74</v>
      </c>
      <c r="H761" t="s">
        <v>74</v>
      </c>
      <c r="I761" t="s">
        <v>11561</v>
      </c>
      <c r="J761" t="s">
        <v>129</v>
      </c>
      <c r="K761" t="s">
        <v>74</v>
      </c>
      <c r="L761" t="s">
        <v>74</v>
      </c>
      <c r="M761" t="s">
        <v>78</v>
      </c>
      <c r="N761" t="s">
        <v>79</v>
      </c>
      <c r="O761" t="s">
        <v>74</v>
      </c>
      <c r="P761" t="s">
        <v>74</v>
      </c>
      <c r="Q761" t="s">
        <v>74</v>
      </c>
      <c r="R761" t="s">
        <v>74</v>
      </c>
      <c r="S761" t="s">
        <v>74</v>
      </c>
      <c r="T761" t="s">
        <v>74</v>
      </c>
      <c r="U761" t="s">
        <v>11562</v>
      </c>
      <c r="V761" t="s">
        <v>11563</v>
      </c>
      <c r="W761" t="s">
        <v>11557</v>
      </c>
      <c r="X761" t="s">
        <v>2321</v>
      </c>
      <c r="Y761" t="s">
        <v>7782</v>
      </c>
      <c r="Z761" t="s">
        <v>11548</v>
      </c>
      <c r="AA761" t="s">
        <v>11564</v>
      </c>
      <c r="AB761" t="s">
        <v>11565</v>
      </c>
      <c r="AC761" t="s">
        <v>74</v>
      </c>
      <c r="AD761" t="s">
        <v>74</v>
      </c>
      <c r="AE761" t="s">
        <v>74</v>
      </c>
      <c r="AF761" t="s">
        <v>74</v>
      </c>
      <c r="AG761">
        <v>19</v>
      </c>
      <c r="AH761">
        <v>9</v>
      </c>
      <c r="AI761">
        <v>11</v>
      </c>
      <c r="AJ761">
        <v>1</v>
      </c>
      <c r="AK761">
        <v>14</v>
      </c>
      <c r="AL761" t="s">
        <v>136</v>
      </c>
      <c r="AM761" t="s">
        <v>137</v>
      </c>
      <c r="AN761" t="s">
        <v>138</v>
      </c>
      <c r="AO761" t="s">
        <v>139</v>
      </c>
      <c r="AP761" t="s">
        <v>140</v>
      </c>
      <c r="AQ761" t="s">
        <v>74</v>
      </c>
      <c r="AR761" t="s">
        <v>141</v>
      </c>
      <c r="AS761" t="s">
        <v>142</v>
      </c>
      <c r="AT761" t="s">
        <v>11510</v>
      </c>
      <c r="AU761">
        <v>2006</v>
      </c>
      <c r="AV761">
        <v>38</v>
      </c>
      <c r="AW761">
        <v>1</v>
      </c>
      <c r="AX761" t="s">
        <v>74</v>
      </c>
      <c r="AY761" t="s">
        <v>74</v>
      </c>
      <c r="AZ761" t="s">
        <v>74</v>
      </c>
      <c r="BA761" t="s">
        <v>74</v>
      </c>
      <c r="BB761">
        <v>21</v>
      </c>
      <c r="BC761">
        <v>33</v>
      </c>
      <c r="BD761" t="s">
        <v>74</v>
      </c>
      <c r="BE761" t="s">
        <v>11566</v>
      </c>
      <c r="BF761" t="str">
        <f>HYPERLINK("http://dx.doi.org/10.1657/1523-0430(2006)038[0021:QTMBOI]2.0.CO;2","http://dx.doi.org/10.1657/1523-0430(2006)038[0021:QTMBOI]2.0.CO;2")</f>
        <v>http://dx.doi.org/10.1657/1523-0430(2006)038[0021:QTMBOI]2.0.CO;2</v>
      </c>
      <c r="BG761" t="s">
        <v>74</v>
      </c>
      <c r="BH761" t="s">
        <v>74</v>
      </c>
      <c r="BI761">
        <v>13</v>
      </c>
      <c r="BJ761" t="s">
        <v>144</v>
      </c>
      <c r="BK761" t="s">
        <v>97</v>
      </c>
      <c r="BL761" t="s">
        <v>145</v>
      </c>
      <c r="BM761" t="s">
        <v>11552</v>
      </c>
      <c r="BN761" t="s">
        <v>74</v>
      </c>
      <c r="BO761" t="s">
        <v>227</v>
      </c>
      <c r="BP761" t="s">
        <v>74</v>
      </c>
      <c r="BQ761" t="s">
        <v>74</v>
      </c>
      <c r="BR761" t="s">
        <v>100</v>
      </c>
      <c r="BS761" t="s">
        <v>11567</v>
      </c>
      <c r="BT761" t="str">
        <f>HYPERLINK("https%3A%2F%2Fwww.webofscience.com%2Fwos%2Fwoscc%2Ffull-record%2FWOS:000235385100003","View Full Record in Web of Science")</f>
        <v>View Full Record in Web of Science</v>
      </c>
    </row>
    <row r="762" spans="1:72" x14ac:dyDescent="0.15">
      <c r="A762" t="s">
        <v>72</v>
      </c>
      <c r="B762" t="s">
        <v>11568</v>
      </c>
      <c r="C762" t="s">
        <v>74</v>
      </c>
      <c r="D762" t="s">
        <v>74</v>
      </c>
      <c r="E762" t="s">
        <v>74</v>
      </c>
      <c r="F762" t="s">
        <v>11568</v>
      </c>
      <c r="G762" t="s">
        <v>74</v>
      </c>
      <c r="H762" t="s">
        <v>74</v>
      </c>
      <c r="I762" t="s">
        <v>11569</v>
      </c>
      <c r="J762" t="s">
        <v>129</v>
      </c>
      <c r="K762" t="s">
        <v>74</v>
      </c>
      <c r="L762" t="s">
        <v>74</v>
      </c>
      <c r="M762" t="s">
        <v>78</v>
      </c>
      <c r="N762" t="s">
        <v>79</v>
      </c>
      <c r="O762" t="s">
        <v>74</v>
      </c>
      <c r="P762" t="s">
        <v>74</v>
      </c>
      <c r="Q762" t="s">
        <v>74</v>
      </c>
      <c r="R762" t="s">
        <v>74</v>
      </c>
      <c r="S762" t="s">
        <v>74</v>
      </c>
      <c r="T762" t="s">
        <v>74</v>
      </c>
      <c r="U762" t="s">
        <v>11570</v>
      </c>
      <c r="V762" t="s">
        <v>11571</v>
      </c>
      <c r="W762" t="s">
        <v>11572</v>
      </c>
      <c r="X762" t="s">
        <v>11573</v>
      </c>
      <c r="Y762" t="s">
        <v>11574</v>
      </c>
      <c r="Z762" t="s">
        <v>11575</v>
      </c>
      <c r="AA762" t="s">
        <v>11576</v>
      </c>
      <c r="AB762" t="s">
        <v>11577</v>
      </c>
      <c r="AC762" t="s">
        <v>74</v>
      </c>
      <c r="AD762" t="s">
        <v>74</v>
      </c>
      <c r="AE762" t="s">
        <v>74</v>
      </c>
      <c r="AF762" t="s">
        <v>74</v>
      </c>
      <c r="AG762">
        <v>30</v>
      </c>
      <c r="AH762">
        <v>27</v>
      </c>
      <c r="AI762">
        <v>36</v>
      </c>
      <c r="AJ762">
        <v>0</v>
      </c>
      <c r="AK762">
        <v>19</v>
      </c>
      <c r="AL762" t="s">
        <v>136</v>
      </c>
      <c r="AM762" t="s">
        <v>137</v>
      </c>
      <c r="AN762" t="s">
        <v>138</v>
      </c>
      <c r="AO762" t="s">
        <v>139</v>
      </c>
      <c r="AP762" t="s">
        <v>140</v>
      </c>
      <c r="AQ762" t="s">
        <v>74</v>
      </c>
      <c r="AR762" t="s">
        <v>141</v>
      </c>
      <c r="AS762" t="s">
        <v>142</v>
      </c>
      <c r="AT762" t="s">
        <v>11510</v>
      </c>
      <c r="AU762">
        <v>2006</v>
      </c>
      <c r="AV762">
        <v>38</v>
      </c>
      <c r="AW762">
        <v>1</v>
      </c>
      <c r="AX762" t="s">
        <v>74</v>
      </c>
      <c r="AY762" t="s">
        <v>74</v>
      </c>
      <c r="AZ762" t="s">
        <v>74</v>
      </c>
      <c r="BA762" t="s">
        <v>74</v>
      </c>
      <c r="BB762">
        <v>34</v>
      </c>
      <c r="BC762">
        <v>41</v>
      </c>
      <c r="BD762" t="s">
        <v>74</v>
      </c>
      <c r="BE762" t="s">
        <v>11578</v>
      </c>
      <c r="BF762" t="str">
        <f>HYPERLINK("http://dx.doi.org/10.1657/1523-0430(2006)038[0034:PDAEDI]2.0.CO;2","http://dx.doi.org/10.1657/1523-0430(2006)038[0034:PDAEDI]2.0.CO;2")</f>
        <v>http://dx.doi.org/10.1657/1523-0430(2006)038[0034:PDAEDI]2.0.CO;2</v>
      </c>
      <c r="BG762" t="s">
        <v>74</v>
      </c>
      <c r="BH762" t="s">
        <v>74</v>
      </c>
      <c r="BI762">
        <v>8</v>
      </c>
      <c r="BJ762" t="s">
        <v>144</v>
      </c>
      <c r="BK762" t="s">
        <v>97</v>
      </c>
      <c r="BL762" t="s">
        <v>145</v>
      </c>
      <c r="BM762" t="s">
        <v>11552</v>
      </c>
      <c r="BN762" t="s">
        <v>74</v>
      </c>
      <c r="BO762" t="s">
        <v>164</v>
      </c>
      <c r="BP762" t="s">
        <v>74</v>
      </c>
      <c r="BQ762" t="s">
        <v>74</v>
      </c>
      <c r="BR762" t="s">
        <v>100</v>
      </c>
      <c r="BS762" t="s">
        <v>11579</v>
      </c>
      <c r="BT762" t="str">
        <f>HYPERLINK("https%3A%2F%2Fwww.webofscience.com%2Fwos%2Fwoscc%2Ffull-record%2FWOS:000235385100004","View Full Record in Web of Science")</f>
        <v>View Full Record in Web of Science</v>
      </c>
    </row>
    <row r="763" spans="1:72" x14ac:dyDescent="0.15">
      <c r="A763" t="s">
        <v>72</v>
      </c>
      <c r="B763" t="s">
        <v>11580</v>
      </c>
      <c r="C763" t="s">
        <v>74</v>
      </c>
      <c r="D763" t="s">
        <v>74</v>
      </c>
      <c r="E763" t="s">
        <v>74</v>
      </c>
      <c r="F763" t="s">
        <v>11580</v>
      </c>
      <c r="G763" t="s">
        <v>74</v>
      </c>
      <c r="H763" t="s">
        <v>74</v>
      </c>
      <c r="I763" t="s">
        <v>11581</v>
      </c>
      <c r="J763" t="s">
        <v>129</v>
      </c>
      <c r="K763" t="s">
        <v>74</v>
      </c>
      <c r="L763" t="s">
        <v>74</v>
      </c>
      <c r="M763" t="s">
        <v>78</v>
      </c>
      <c r="N763" t="s">
        <v>79</v>
      </c>
      <c r="O763" t="s">
        <v>74</v>
      </c>
      <c r="P763" t="s">
        <v>74</v>
      </c>
      <c r="Q763" t="s">
        <v>74</v>
      </c>
      <c r="R763" t="s">
        <v>74</v>
      </c>
      <c r="S763" t="s">
        <v>74</v>
      </c>
      <c r="T763" t="s">
        <v>74</v>
      </c>
      <c r="U763" t="s">
        <v>11582</v>
      </c>
      <c r="V763" t="s">
        <v>11583</v>
      </c>
      <c r="W763" t="s">
        <v>11584</v>
      </c>
      <c r="X763" t="s">
        <v>11585</v>
      </c>
      <c r="Y763" t="s">
        <v>11586</v>
      </c>
      <c r="Z763" t="s">
        <v>11587</v>
      </c>
      <c r="AA763" t="s">
        <v>74</v>
      </c>
      <c r="AB763" t="s">
        <v>11588</v>
      </c>
      <c r="AC763" t="s">
        <v>11589</v>
      </c>
      <c r="AD763" t="s">
        <v>11590</v>
      </c>
      <c r="AE763" t="s">
        <v>74</v>
      </c>
      <c r="AF763" t="s">
        <v>74</v>
      </c>
      <c r="AG763">
        <v>39</v>
      </c>
      <c r="AH763">
        <v>33</v>
      </c>
      <c r="AI763">
        <v>42</v>
      </c>
      <c r="AJ763">
        <v>0</v>
      </c>
      <c r="AK763">
        <v>6</v>
      </c>
      <c r="AL763" t="s">
        <v>136</v>
      </c>
      <c r="AM763" t="s">
        <v>137</v>
      </c>
      <c r="AN763" t="s">
        <v>138</v>
      </c>
      <c r="AO763" t="s">
        <v>139</v>
      </c>
      <c r="AP763" t="s">
        <v>140</v>
      </c>
      <c r="AQ763" t="s">
        <v>74</v>
      </c>
      <c r="AR763" t="s">
        <v>141</v>
      </c>
      <c r="AS763" t="s">
        <v>142</v>
      </c>
      <c r="AT763" t="s">
        <v>11510</v>
      </c>
      <c r="AU763">
        <v>2006</v>
      </c>
      <c r="AV763">
        <v>38</v>
      </c>
      <c r="AW763">
        <v>1</v>
      </c>
      <c r="AX763" t="s">
        <v>74</v>
      </c>
      <c r="AY763" t="s">
        <v>74</v>
      </c>
      <c r="AZ763" t="s">
        <v>74</v>
      </c>
      <c r="BA763" t="s">
        <v>74</v>
      </c>
      <c r="BB763">
        <v>42</v>
      </c>
      <c r="BC763">
        <v>53</v>
      </c>
      <c r="BD763" t="s">
        <v>74</v>
      </c>
      <c r="BE763" t="s">
        <v>11591</v>
      </c>
      <c r="BF763" t="str">
        <f>HYPERLINK("http://dx.doi.org/10.1657/1523-0430(2006)038[0042:SATALD]2.0.CO;2","http://dx.doi.org/10.1657/1523-0430(2006)038[0042:SATALD]2.0.CO;2")</f>
        <v>http://dx.doi.org/10.1657/1523-0430(2006)038[0042:SATALD]2.0.CO;2</v>
      </c>
      <c r="BG763" t="s">
        <v>74</v>
      </c>
      <c r="BH763" t="s">
        <v>74</v>
      </c>
      <c r="BI763">
        <v>12</v>
      </c>
      <c r="BJ763" t="s">
        <v>144</v>
      </c>
      <c r="BK763" t="s">
        <v>97</v>
      </c>
      <c r="BL763" t="s">
        <v>145</v>
      </c>
      <c r="BM763" t="s">
        <v>11552</v>
      </c>
      <c r="BN763" t="s">
        <v>74</v>
      </c>
      <c r="BO763" t="s">
        <v>147</v>
      </c>
      <c r="BP763" t="s">
        <v>74</v>
      </c>
      <c r="BQ763" t="s">
        <v>74</v>
      </c>
      <c r="BR763" t="s">
        <v>100</v>
      </c>
      <c r="BS763" t="s">
        <v>11592</v>
      </c>
      <c r="BT763" t="str">
        <f>HYPERLINK("https%3A%2F%2Fwww.webofscience.com%2Fwos%2Fwoscc%2Ffull-record%2FWOS:000235385100005","View Full Record in Web of Science")</f>
        <v>View Full Record in Web of Science</v>
      </c>
    </row>
    <row r="764" spans="1:72" x14ac:dyDescent="0.15">
      <c r="A764" t="s">
        <v>72</v>
      </c>
      <c r="B764" t="s">
        <v>11593</v>
      </c>
      <c r="C764" t="s">
        <v>74</v>
      </c>
      <c r="D764" t="s">
        <v>74</v>
      </c>
      <c r="E764" t="s">
        <v>74</v>
      </c>
      <c r="F764" t="s">
        <v>11593</v>
      </c>
      <c r="G764" t="s">
        <v>74</v>
      </c>
      <c r="H764" t="s">
        <v>74</v>
      </c>
      <c r="I764" t="s">
        <v>11594</v>
      </c>
      <c r="J764" t="s">
        <v>129</v>
      </c>
      <c r="K764" t="s">
        <v>74</v>
      </c>
      <c r="L764" t="s">
        <v>74</v>
      </c>
      <c r="M764" t="s">
        <v>78</v>
      </c>
      <c r="N764" t="s">
        <v>79</v>
      </c>
      <c r="O764" t="s">
        <v>74</v>
      </c>
      <c r="P764" t="s">
        <v>74</v>
      </c>
      <c r="Q764" t="s">
        <v>74</v>
      </c>
      <c r="R764" t="s">
        <v>74</v>
      </c>
      <c r="S764" t="s">
        <v>74</v>
      </c>
      <c r="T764" t="s">
        <v>74</v>
      </c>
      <c r="U764" t="s">
        <v>11595</v>
      </c>
      <c r="V764" t="s">
        <v>11596</v>
      </c>
      <c r="W764" t="s">
        <v>11597</v>
      </c>
      <c r="X764" t="s">
        <v>11598</v>
      </c>
      <c r="Y764" t="s">
        <v>11599</v>
      </c>
      <c r="Z764" t="s">
        <v>11600</v>
      </c>
      <c r="AA764" t="s">
        <v>11601</v>
      </c>
      <c r="AB764" t="s">
        <v>11602</v>
      </c>
      <c r="AC764" t="s">
        <v>74</v>
      </c>
      <c r="AD764" t="s">
        <v>74</v>
      </c>
      <c r="AE764" t="s">
        <v>74</v>
      </c>
      <c r="AF764" t="s">
        <v>74</v>
      </c>
      <c r="AG764">
        <v>27</v>
      </c>
      <c r="AH764">
        <v>9</v>
      </c>
      <c r="AI764">
        <v>13</v>
      </c>
      <c r="AJ764">
        <v>0</v>
      </c>
      <c r="AK764">
        <v>26</v>
      </c>
      <c r="AL764" t="s">
        <v>136</v>
      </c>
      <c r="AM764" t="s">
        <v>137</v>
      </c>
      <c r="AN764" t="s">
        <v>138</v>
      </c>
      <c r="AO764" t="s">
        <v>139</v>
      </c>
      <c r="AP764" t="s">
        <v>140</v>
      </c>
      <c r="AQ764" t="s">
        <v>74</v>
      </c>
      <c r="AR764" t="s">
        <v>141</v>
      </c>
      <c r="AS764" t="s">
        <v>142</v>
      </c>
      <c r="AT764" t="s">
        <v>11510</v>
      </c>
      <c r="AU764">
        <v>2006</v>
      </c>
      <c r="AV764">
        <v>38</v>
      </c>
      <c r="AW764">
        <v>1</v>
      </c>
      <c r="AX764" t="s">
        <v>74</v>
      </c>
      <c r="AY764" t="s">
        <v>74</v>
      </c>
      <c r="AZ764" t="s">
        <v>74</v>
      </c>
      <c r="BA764" t="s">
        <v>74</v>
      </c>
      <c r="BB764">
        <v>54</v>
      </c>
      <c r="BC764">
        <v>59</v>
      </c>
      <c r="BD764" t="s">
        <v>74</v>
      </c>
      <c r="BE764" t="s">
        <v>11603</v>
      </c>
      <c r="BF764" t="str">
        <f>HYPERLINK("http://dx.doi.org/10.1657/1523-0430(2006)038[0054:SOFPSI]2.0.CO;2","http://dx.doi.org/10.1657/1523-0430(2006)038[0054:SOFPSI]2.0.CO;2")</f>
        <v>http://dx.doi.org/10.1657/1523-0430(2006)038[0054:SOFPSI]2.0.CO;2</v>
      </c>
      <c r="BG764" t="s">
        <v>74</v>
      </c>
      <c r="BH764" t="s">
        <v>74</v>
      </c>
      <c r="BI764">
        <v>6</v>
      </c>
      <c r="BJ764" t="s">
        <v>144</v>
      </c>
      <c r="BK764" t="s">
        <v>97</v>
      </c>
      <c r="BL764" t="s">
        <v>145</v>
      </c>
      <c r="BM764" t="s">
        <v>11552</v>
      </c>
      <c r="BN764" t="s">
        <v>74</v>
      </c>
      <c r="BO764" t="s">
        <v>147</v>
      </c>
      <c r="BP764" t="s">
        <v>74</v>
      </c>
      <c r="BQ764" t="s">
        <v>74</v>
      </c>
      <c r="BR764" t="s">
        <v>100</v>
      </c>
      <c r="BS764" t="s">
        <v>11604</v>
      </c>
      <c r="BT764" t="str">
        <f>HYPERLINK("https%3A%2F%2Fwww.webofscience.com%2Fwos%2Fwoscc%2Ffull-record%2FWOS:000235385100006","View Full Record in Web of Science")</f>
        <v>View Full Record in Web of Science</v>
      </c>
    </row>
    <row r="765" spans="1:72" x14ac:dyDescent="0.15">
      <c r="A765" t="s">
        <v>72</v>
      </c>
      <c r="B765" t="s">
        <v>11605</v>
      </c>
      <c r="C765" t="s">
        <v>74</v>
      </c>
      <c r="D765" t="s">
        <v>74</v>
      </c>
      <c r="E765" t="s">
        <v>74</v>
      </c>
      <c r="F765" t="s">
        <v>11605</v>
      </c>
      <c r="G765" t="s">
        <v>74</v>
      </c>
      <c r="H765" t="s">
        <v>74</v>
      </c>
      <c r="I765" t="s">
        <v>11606</v>
      </c>
      <c r="J765" t="s">
        <v>129</v>
      </c>
      <c r="K765" t="s">
        <v>74</v>
      </c>
      <c r="L765" t="s">
        <v>74</v>
      </c>
      <c r="M765" t="s">
        <v>78</v>
      </c>
      <c r="N765" t="s">
        <v>79</v>
      </c>
      <c r="O765" t="s">
        <v>74</v>
      </c>
      <c r="P765" t="s">
        <v>74</v>
      </c>
      <c r="Q765" t="s">
        <v>74</v>
      </c>
      <c r="R765" t="s">
        <v>74</v>
      </c>
      <c r="S765" t="s">
        <v>74</v>
      </c>
      <c r="T765" t="s">
        <v>74</v>
      </c>
      <c r="U765" t="s">
        <v>11607</v>
      </c>
      <c r="V765" t="s">
        <v>11608</v>
      </c>
      <c r="W765" t="s">
        <v>11609</v>
      </c>
      <c r="X765" t="s">
        <v>11610</v>
      </c>
      <c r="Y765" t="s">
        <v>11611</v>
      </c>
      <c r="Z765" t="s">
        <v>11612</v>
      </c>
      <c r="AA765" t="s">
        <v>11613</v>
      </c>
      <c r="AB765" t="s">
        <v>11614</v>
      </c>
      <c r="AC765" t="s">
        <v>11615</v>
      </c>
      <c r="AD765" t="s">
        <v>11616</v>
      </c>
      <c r="AE765" t="s">
        <v>74</v>
      </c>
      <c r="AF765" t="s">
        <v>74</v>
      </c>
      <c r="AG765">
        <v>62</v>
      </c>
      <c r="AH765">
        <v>55</v>
      </c>
      <c r="AI765">
        <v>68</v>
      </c>
      <c r="AJ765">
        <v>0</v>
      </c>
      <c r="AK765">
        <v>25</v>
      </c>
      <c r="AL765" t="s">
        <v>136</v>
      </c>
      <c r="AM765" t="s">
        <v>137</v>
      </c>
      <c r="AN765" t="s">
        <v>138</v>
      </c>
      <c r="AO765" t="s">
        <v>139</v>
      </c>
      <c r="AP765" t="s">
        <v>140</v>
      </c>
      <c r="AQ765" t="s">
        <v>74</v>
      </c>
      <c r="AR765" t="s">
        <v>141</v>
      </c>
      <c r="AS765" t="s">
        <v>142</v>
      </c>
      <c r="AT765" t="s">
        <v>11510</v>
      </c>
      <c r="AU765">
        <v>2006</v>
      </c>
      <c r="AV765">
        <v>38</v>
      </c>
      <c r="AW765">
        <v>1</v>
      </c>
      <c r="AX765" t="s">
        <v>74</v>
      </c>
      <c r="AY765" t="s">
        <v>74</v>
      </c>
      <c r="AZ765" t="s">
        <v>74</v>
      </c>
      <c r="BA765" t="s">
        <v>74</v>
      </c>
      <c r="BB765">
        <v>60</v>
      </c>
      <c r="BC765">
        <v>71</v>
      </c>
      <c r="BD765" t="s">
        <v>74</v>
      </c>
      <c r="BE765" t="s">
        <v>11617</v>
      </c>
      <c r="BF765" t="str">
        <f>HYPERLINK("http://dx.doi.org/10.1657/1523-0430(2006)038[0060:ASIIOA]2.0.CO;2","http://dx.doi.org/10.1657/1523-0430(2006)038[0060:ASIIOA]2.0.CO;2")</f>
        <v>http://dx.doi.org/10.1657/1523-0430(2006)038[0060:ASIIOA]2.0.CO;2</v>
      </c>
      <c r="BG765" t="s">
        <v>74</v>
      </c>
      <c r="BH765" t="s">
        <v>74</v>
      </c>
      <c r="BI765">
        <v>12</v>
      </c>
      <c r="BJ765" t="s">
        <v>144</v>
      </c>
      <c r="BK765" t="s">
        <v>97</v>
      </c>
      <c r="BL765" t="s">
        <v>145</v>
      </c>
      <c r="BM765" t="s">
        <v>11552</v>
      </c>
      <c r="BN765" t="s">
        <v>74</v>
      </c>
      <c r="BO765" t="s">
        <v>164</v>
      </c>
      <c r="BP765" t="s">
        <v>74</v>
      </c>
      <c r="BQ765" t="s">
        <v>74</v>
      </c>
      <c r="BR765" t="s">
        <v>100</v>
      </c>
      <c r="BS765" t="s">
        <v>11618</v>
      </c>
      <c r="BT765" t="str">
        <f>HYPERLINK("https%3A%2F%2Fwww.webofscience.com%2Fwos%2Fwoscc%2Ffull-record%2FWOS:000235385100007","View Full Record in Web of Science")</f>
        <v>View Full Record in Web of Science</v>
      </c>
    </row>
    <row r="766" spans="1:72" x14ac:dyDescent="0.15">
      <c r="A766" t="s">
        <v>72</v>
      </c>
      <c r="B766" t="s">
        <v>368</v>
      </c>
      <c r="C766" t="s">
        <v>74</v>
      </c>
      <c r="D766" t="s">
        <v>74</v>
      </c>
      <c r="E766" t="s">
        <v>74</v>
      </c>
      <c r="F766" t="s">
        <v>368</v>
      </c>
      <c r="G766" t="s">
        <v>74</v>
      </c>
      <c r="H766" t="s">
        <v>74</v>
      </c>
      <c r="I766" t="s">
        <v>11619</v>
      </c>
      <c r="J766" t="s">
        <v>129</v>
      </c>
      <c r="K766" t="s">
        <v>74</v>
      </c>
      <c r="L766" t="s">
        <v>74</v>
      </c>
      <c r="M766" t="s">
        <v>78</v>
      </c>
      <c r="N766" t="s">
        <v>79</v>
      </c>
      <c r="O766" t="s">
        <v>74</v>
      </c>
      <c r="P766" t="s">
        <v>74</v>
      </c>
      <c r="Q766" t="s">
        <v>74</v>
      </c>
      <c r="R766" t="s">
        <v>74</v>
      </c>
      <c r="S766" t="s">
        <v>74</v>
      </c>
      <c r="T766" t="s">
        <v>74</v>
      </c>
      <c r="U766" t="s">
        <v>11620</v>
      </c>
      <c r="V766" t="s">
        <v>11621</v>
      </c>
      <c r="W766" t="s">
        <v>11622</v>
      </c>
      <c r="X766" t="s">
        <v>11623</v>
      </c>
      <c r="Y766" t="s">
        <v>11624</v>
      </c>
      <c r="Z766" t="s">
        <v>11625</v>
      </c>
      <c r="AA766" t="s">
        <v>372</v>
      </c>
      <c r="AB766" t="s">
        <v>74</v>
      </c>
      <c r="AC766" t="s">
        <v>74</v>
      </c>
      <c r="AD766" t="s">
        <v>74</v>
      </c>
      <c r="AE766" t="s">
        <v>74</v>
      </c>
      <c r="AF766" t="s">
        <v>74</v>
      </c>
      <c r="AG766">
        <v>47</v>
      </c>
      <c r="AH766">
        <v>3</v>
      </c>
      <c r="AI766">
        <v>5</v>
      </c>
      <c r="AJ766">
        <v>0</v>
      </c>
      <c r="AK766">
        <v>11</v>
      </c>
      <c r="AL766" t="s">
        <v>136</v>
      </c>
      <c r="AM766" t="s">
        <v>137</v>
      </c>
      <c r="AN766" t="s">
        <v>138</v>
      </c>
      <c r="AO766" t="s">
        <v>139</v>
      </c>
      <c r="AP766" t="s">
        <v>140</v>
      </c>
      <c r="AQ766" t="s">
        <v>74</v>
      </c>
      <c r="AR766" t="s">
        <v>141</v>
      </c>
      <c r="AS766" t="s">
        <v>142</v>
      </c>
      <c r="AT766" t="s">
        <v>11510</v>
      </c>
      <c r="AU766">
        <v>2006</v>
      </c>
      <c r="AV766">
        <v>38</v>
      </c>
      <c r="AW766">
        <v>1</v>
      </c>
      <c r="AX766" t="s">
        <v>74</v>
      </c>
      <c r="AY766" t="s">
        <v>74</v>
      </c>
      <c r="AZ766" t="s">
        <v>74</v>
      </c>
      <c r="BA766" t="s">
        <v>74</v>
      </c>
      <c r="BB766">
        <v>72</v>
      </c>
      <c r="BC766">
        <v>81</v>
      </c>
      <c r="BD766" t="s">
        <v>74</v>
      </c>
      <c r="BE766" t="s">
        <v>11626</v>
      </c>
      <c r="BF766" t="str">
        <f>HYPERLINK("http://dx.doi.org/10.1657/1523-0430(2006)038[0072:ELCIHA]2.0.CO;2","http://dx.doi.org/10.1657/1523-0430(2006)038[0072:ELCIHA]2.0.CO;2")</f>
        <v>http://dx.doi.org/10.1657/1523-0430(2006)038[0072:ELCIHA]2.0.CO;2</v>
      </c>
      <c r="BG766" t="s">
        <v>74</v>
      </c>
      <c r="BH766" t="s">
        <v>74</v>
      </c>
      <c r="BI766">
        <v>10</v>
      </c>
      <c r="BJ766" t="s">
        <v>144</v>
      </c>
      <c r="BK766" t="s">
        <v>97</v>
      </c>
      <c r="BL766" t="s">
        <v>145</v>
      </c>
      <c r="BM766" t="s">
        <v>11552</v>
      </c>
      <c r="BN766" t="s">
        <v>74</v>
      </c>
      <c r="BO766" t="s">
        <v>164</v>
      </c>
      <c r="BP766" t="s">
        <v>74</v>
      </c>
      <c r="BQ766" t="s">
        <v>74</v>
      </c>
      <c r="BR766" t="s">
        <v>100</v>
      </c>
      <c r="BS766" t="s">
        <v>11627</v>
      </c>
      <c r="BT766" t="str">
        <f>HYPERLINK("https%3A%2F%2Fwww.webofscience.com%2Fwos%2Fwoscc%2Ffull-record%2FWOS:000235385100008","View Full Record in Web of Science")</f>
        <v>View Full Record in Web of Science</v>
      </c>
    </row>
    <row r="767" spans="1:72" x14ac:dyDescent="0.15">
      <c r="A767" t="s">
        <v>72</v>
      </c>
      <c r="B767" t="s">
        <v>11628</v>
      </c>
      <c r="C767" t="s">
        <v>74</v>
      </c>
      <c r="D767" t="s">
        <v>74</v>
      </c>
      <c r="E767" t="s">
        <v>74</v>
      </c>
      <c r="F767" t="s">
        <v>11628</v>
      </c>
      <c r="G767" t="s">
        <v>74</v>
      </c>
      <c r="H767" t="s">
        <v>74</v>
      </c>
      <c r="I767" t="s">
        <v>11629</v>
      </c>
      <c r="J767" t="s">
        <v>129</v>
      </c>
      <c r="K767" t="s">
        <v>74</v>
      </c>
      <c r="L767" t="s">
        <v>74</v>
      </c>
      <c r="M767" t="s">
        <v>78</v>
      </c>
      <c r="N767" t="s">
        <v>79</v>
      </c>
      <c r="O767" t="s">
        <v>74</v>
      </c>
      <c r="P767" t="s">
        <v>74</v>
      </c>
      <c r="Q767" t="s">
        <v>74</v>
      </c>
      <c r="R767" t="s">
        <v>74</v>
      </c>
      <c r="S767" t="s">
        <v>74</v>
      </c>
      <c r="T767" t="s">
        <v>74</v>
      </c>
      <c r="U767" t="s">
        <v>11630</v>
      </c>
      <c r="V767" t="s">
        <v>11631</v>
      </c>
      <c r="W767" t="s">
        <v>11632</v>
      </c>
      <c r="X767" t="s">
        <v>74</v>
      </c>
      <c r="Y767" t="s">
        <v>11633</v>
      </c>
      <c r="Z767" t="s">
        <v>11634</v>
      </c>
      <c r="AA767" t="s">
        <v>74</v>
      </c>
      <c r="AB767" t="s">
        <v>74</v>
      </c>
      <c r="AC767" t="s">
        <v>74</v>
      </c>
      <c r="AD767" t="s">
        <v>74</v>
      </c>
      <c r="AE767" t="s">
        <v>74</v>
      </c>
      <c r="AF767" t="s">
        <v>74</v>
      </c>
      <c r="AG767">
        <v>62</v>
      </c>
      <c r="AH767">
        <v>28</v>
      </c>
      <c r="AI767">
        <v>31</v>
      </c>
      <c r="AJ767">
        <v>1</v>
      </c>
      <c r="AK767">
        <v>20</v>
      </c>
      <c r="AL767" t="s">
        <v>160</v>
      </c>
      <c r="AM767" t="s">
        <v>161</v>
      </c>
      <c r="AN767" t="s">
        <v>162</v>
      </c>
      <c r="AO767" t="s">
        <v>139</v>
      </c>
      <c r="AP767" t="s">
        <v>140</v>
      </c>
      <c r="AQ767" t="s">
        <v>74</v>
      </c>
      <c r="AR767" t="s">
        <v>141</v>
      </c>
      <c r="AS767" t="s">
        <v>142</v>
      </c>
      <c r="AT767" t="s">
        <v>11510</v>
      </c>
      <c r="AU767">
        <v>2006</v>
      </c>
      <c r="AV767">
        <v>38</v>
      </c>
      <c r="AW767">
        <v>1</v>
      </c>
      <c r="AX767" t="s">
        <v>74</v>
      </c>
      <c r="AY767" t="s">
        <v>74</v>
      </c>
      <c r="AZ767" t="s">
        <v>74</v>
      </c>
      <c r="BA767" t="s">
        <v>74</v>
      </c>
      <c r="BB767">
        <v>82</v>
      </c>
      <c r="BC767">
        <v>89</v>
      </c>
      <c r="BD767" t="s">
        <v>74</v>
      </c>
      <c r="BE767" t="s">
        <v>11635</v>
      </c>
      <c r="BF767" t="str">
        <f>HYPERLINK("http://dx.doi.org/10.1657/1523-0430(2006)038[0082:SPPVSA]2.0.CO;2","http://dx.doi.org/10.1657/1523-0430(2006)038[0082:SPPVSA]2.0.CO;2")</f>
        <v>http://dx.doi.org/10.1657/1523-0430(2006)038[0082:SPPVSA]2.0.CO;2</v>
      </c>
      <c r="BG767" t="s">
        <v>74</v>
      </c>
      <c r="BH767" t="s">
        <v>74</v>
      </c>
      <c r="BI767">
        <v>8</v>
      </c>
      <c r="BJ767" t="s">
        <v>144</v>
      </c>
      <c r="BK767" t="s">
        <v>97</v>
      </c>
      <c r="BL767" t="s">
        <v>145</v>
      </c>
      <c r="BM767" t="s">
        <v>11552</v>
      </c>
      <c r="BN767" t="s">
        <v>74</v>
      </c>
      <c r="BO767" t="s">
        <v>147</v>
      </c>
      <c r="BP767" t="s">
        <v>74</v>
      </c>
      <c r="BQ767" t="s">
        <v>74</v>
      </c>
      <c r="BR767" t="s">
        <v>100</v>
      </c>
      <c r="BS767" t="s">
        <v>11636</v>
      </c>
      <c r="BT767" t="str">
        <f>HYPERLINK("https%3A%2F%2Fwww.webofscience.com%2Fwos%2Fwoscc%2Ffull-record%2FWOS:000235385100009","View Full Record in Web of Science")</f>
        <v>View Full Record in Web of Science</v>
      </c>
    </row>
    <row r="768" spans="1:72" x14ac:dyDescent="0.15">
      <c r="A768" t="s">
        <v>72</v>
      </c>
      <c r="B768" t="s">
        <v>11637</v>
      </c>
      <c r="C768" t="s">
        <v>74</v>
      </c>
      <c r="D768" t="s">
        <v>74</v>
      </c>
      <c r="E768" t="s">
        <v>74</v>
      </c>
      <c r="F768" t="s">
        <v>11637</v>
      </c>
      <c r="G768" t="s">
        <v>74</v>
      </c>
      <c r="H768" t="s">
        <v>74</v>
      </c>
      <c r="I768" t="s">
        <v>11638</v>
      </c>
      <c r="J768" t="s">
        <v>129</v>
      </c>
      <c r="K768" t="s">
        <v>74</v>
      </c>
      <c r="L768" t="s">
        <v>74</v>
      </c>
      <c r="M768" t="s">
        <v>78</v>
      </c>
      <c r="N768" t="s">
        <v>79</v>
      </c>
      <c r="O768" t="s">
        <v>74</v>
      </c>
      <c r="P768" t="s">
        <v>74</v>
      </c>
      <c r="Q768" t="s">
        <v>74</v>
      </c>
      <c r="R768" t="s">
        <v>74</v>
      </c>
      <c r="S768" t="s">
        <v>74</v>
      </c>
      <c r="T768" t="s">
        <v>74</v>
      </c>
      <c r="U768" t="s">
        <v>11639</v>
      </c>
      <c r="V768" t="s">
        <v>11640</v>
      </c>
      <c r="W768" t="s">
        <v>11641</v>
      </c>
      <c r="X768" t="s">
        <v>11642</v>
      </c>
      <c r="Y768" t="s">
        <v>11643</v>
      </c>
      <c r="Z768" t="s">
        <v>11644</v>
      </c>
      <c r="AA768" t="s">
        <v>74</v>
      </c>
      <c r="AB768" t="s">
        <v>11645</v>
      </c>
      <c r="AC768" t="s">
        <v>74</v>
      </c>
      <c r="AD768" t="s">
        <v>74</v>
      </c>
      <c r="AE768" t="s">
        <v>74</v>
      </c>
      <c r="AF768" t="s">
        <v>74</v>
      </c>
      <c r="AG768">
        <v>36</v>
      </c>
      <c r="AH768">
        <v>29</v>
      </c>
      <c r="AI768">
        <v>30</v>
      </c>
      <c r="AJ768">
        <v>1</v>
      </c>
      <c r="AK768">
        <v>29</v>
      </c>
      <c r="AL768" t="s">
        <v>160</v>
      </c>
      <c r="AM768" t="s">
        <v>161</v>
      </c>
      <c r="AN768" t="s">
        <v>162</v>
      </c>
      <c r="AO768" t="s">
        <v>139</v>
      </c>
      <c r="AP768" t="s">
        <v>74</v>
      </c>
      <c r="AQ768" t="s">
        <v>74</v>
      </c>
      <c r="AR768" t="s">
        <v>141</v>
      </c>
      <c r="AS768" t="s">
        <v>142</v>
      </c>
      <c r="AT768" t="s">
        <v>11510</v>
      </c>
      <c r="AU768">
        <v>2006</v>
      </c>
      <c r="AV768">
        <v>38</v>
      </c>
      <c r="AW768">
        <v>1</v>
      </c>
      <c r="AX768" t="s">
        <v>74</v>
      </c>
      <c r="AY768" t="s">
        <v>74</v>
      </c>
      <c r="AZ768" t="s">
        <v>74</v>
      </c>
      <c r="BA768" t="s">
        <v>74</v>
      </c>
      <c r="BB768">
        <v>90</v>
      </c>
      <c r="BC768">
        <v>98</v>
      </c>
      <c r="BD768" t="s">
        <v>74</v>
      </c>
      <c r="BE768" t="s">
        <v>11646</v>
      </c>
      <c r="BF768" t="str">
        <f>HYPERLINK("http://dx.doi.org/10.1657/1523-0430(2006)038[0090:SDAVPI]2.0.CO;2","http://dx.doi.org/10.1657/1523-0430(2006)038[0090:SDAVPI]2.0.CO;2")</f>
        <v>http://dx.doi.org/10.1657/1523-0430(2006)038[0090:SDAVPI]2.0.CO;2</v>
      </c>
      <c r="BG768" t="s">
        <v>74</v>
      </c>
      <c r="BH768" t="s">
        <v>74</v>
      </c>
      <c r="BI768">
        <v>9</v>
      </c>
      <c r="BJ768" t="s">
        <v>144</v>
      </c>
      <c r="BK768" t="s">
        <v>97</v>
      </c>
      <c r="BL768" t="s">
        <v>145</v>
      </c>
      <c r="BM768" t="s">
        <v>11552</v>
      </c>
      <c r="BN768" t="s">
        <v>74</v>
      </c>
      <c r="BO768" t="s">
        <v>147</v>
      </c>
      <c r="BP768" t="s">
        <v>74</v>
      </c>
      <c r="BQ768" t="s">
        <v>74</v>
      </c>
      <c r="BR768" t="s">
        <v>100</v>
      </c>
      <c r="BS768" t="s">
        <v>11647</v>
      </c>
      <c r="BT768" t="str">
        <f>HYPERLINK("https%3A%2F%2Fwww.webofscience.com%2Fwos%2Fwoscc%2Ffull-record%2FWOS:000235385100010","View Full Record in Web of Science")</f>
        <v>View Full Record in Web of Science</v>
      </c>
    </row>
    <row r="769" spans="1:72" x14ac:dyDescent="0.15">
      <c r="A769" t="s">
        <v>72</v>
      </c>
      <c r="B769" t="s">
        <v>11648</v>
      </c>
      <c r="C769" t="s">
        <v>74</v>
      </c>
      <c r="D769" t="s">
        <v>74</v>
      </c>
      <c r="E769" t="s">
        <v>74</v>
      </c>
      <c r="F769" t="s">
        <v>11648</v>
      </c>
      <c r="G769" t="s">
        <v>74</v>
      </c>
      <c r="H769" t="s">
        <v>74</v>
      </c>
      <c r="I769" t="s">
        <v>11649</v>
      </c>
      <c r="J769" t="s">
        <v>129</v>
      </c>
      <c r="K769" t="s">
        <v>74</v>
      </c>
      <c r="L769" t="s">
        <v>74</v>
      </c>
      <c r="M769" t="s">
        <v>78</v>
      </c>
      <c r="N769" t="s">
        <v>79</v>
      </c>
      <c r="O769" t="s">
        <v>74</v>
      </c>
      <c r="P769" t="s">
        <v>74</v>
      </c>
      <c r="Q769" t="s">
        <v>74</v>
      </c>
      <c r="R769" t="s">
        <v>74</v>
      </c>
      <c r="S769" t="s">
        <v>74</v>
      </c>
      <c r="T769" t="s">
        <v>74</v>
      </c>
      <c r="U769" t="s">
        <v>11650</v>
      </c>
      <c r="V769" t="s">
        <v>11651</v>
      </c>
      <c r="W769" t="s">
        <v>11652</v>
      </c>
      <c r="X769" t="s">
        <v>11653</v>
      </c>
      <c r="Y769" t="s">
        <v>11654</v>
      </c>
      <c r="Z769" t="s">
        <v>11655</v>
      </c>
      <c r="AA769" t="s">
        <v>11656</v>
      </c>
      <c r="AB769" t="s">
        <v>11657</v>
      </c>
      <c r="AC769" t="s">
        <v>74</v>
      </c>
      <c r="AD769" t="s">
        <v>74</v>
      </c>
      <c r="AE769" t="s">
        <v>74</v>
      </c>
      <c r="AF769" t="s">
        <v>74</v>
      </c>
      <c r="AG769">
        <v>44</v>
      </c>
      <c r="AH769">
        <v>73</v>
      </c>
      <c r="AI769">
        <v>81</v>
      </c>
      <c r="AJ769">
        <v>3</v>
      </c>
      <c r="AK769">
        <v>66</v>
      </c>
      <c r="AL769" t="s">
        <v>136</v>
      </c>
      <c r="AM769" t="s">
        <v>137</v>
      </c>
      <c r="AN769" t="s">
        <v>138</v>
      </c>
      <c r="AO769" t="s">
        <v>139</v>
      </c>
      <c r="AP769" t="s">
        <v>140</v>
      </c>
      <c r="AQ769" t="s">
        <v>74</v>
      </c>
      <c r="AR769" t="s">
        <v>141</v>
      </c>
      <c r="AS769" t="s">
        <v>142</v>
      </c>
      <c r="AT769" t="s">
        <v>11510</v>
      </c>
      <c r="AU769">
        <v>2006</v>
      </c>
      <c r="AV769">
        <v>38</v>
      </c>
      <c r="AW769">
        <v>1</v>
      </c>
      <c r="AX769" t="s">
        <v>74</v>
      </c>
      <c r="AY769" t="s">
        <v>74</v>
      </c>
      <c r="AZ769" t="s">
        <v>74</v>
      </c>
      <c r="BA769" t="s">
        <v>74</v>
      </c>
      <c r="BB769">
        <v>99</v>
      </c>
      <c r="BC769">
        <v>103</v>
      </c>
      <c r="BD769" t="s">
        <v>74</v>
      </c>
      <c r="BE769" t="s">
        <v>11658</v>
      </c>
      <c r="BF769" t="str">
        <f>HYPERLINK("http://dx.doi.org/10.1657/1523-0430(2006)038[0099:PROSST]2.0.CO;2","http://dx.doi.org/10.1657/1523-0430(2006)038[0099:PROSST]2.0.CO;2")</f>
        <v>http://dx.doi.org/10.1657/1523-0430(2006)038[0099:PROSST]2.0.CO;2</v>
      </c>
      <c r="BG769" t="s">
        <v>74</v>
      </c>
      <c r="BH769" t="s">
        <v>74</v>
      </c>
      <c r="BI769">
        <v>5</v>
      </c>
      <c r="BJ769" t="s">
        <v>144</v>
      </c>
      <c r="BK769" t="s">
        <v>97</v>
      </c>
      <c r="BL769" t="s">
        <v>145</v>
      </c>
      <c r="BM769" t="s">
        <v>11552</v>
      </c>
      <c r="BN769" t="s">
        <v>74</v>
      </c>
      <c r="BO769" t="s">
        <v>147</v>
      </c>
      <c r="BP769" t="s">
        <v>74</v>
      </c>
      <c r="BQ769" t="s">
        <v>74</v>
      </c>
      <c r="BR769" t="s">
        <v>100</v>
      </c>
      <c r="BS769" t="s">
        <v>11659</v>
      </c>
      <c r="BT769" t="str">
        <f>HYPERLINK("https%3A%2F%2Fwww.webofscience.com%2Fwos%2Fwoscc%2Ffull-record%2FWOS:000235385100011","View Full Record in Web of Science")</f>
        <v>View Full Record in Web of Science</v>
      </c>
    </row>
    <row r="770" spans="1:72" x14ac:dyDescent="0.15">
      <c r="A770" t="s">
        <v>72</v>
      </c>
      <c r="B770" t="s">
        <v>11660</v>
      </c>
      <c r="C770" t="s">
        <v>74</v>
      </c>
      <c r="D770" t="s">
        <v>74</v>
      </c>
      <c r="E770" t="s">
        <v>74</v>
      </c>
      <c r="F770" t="s">
        <v>11660</v>
      </c>
      <c r="G770" t="s">
        <v>74</v>
      </c>
      <c r="H770" t="s">
        <v>74</v>
      </c>
      <c r="I770" t="s">
        <v>11661</v>
      </c>
      <c r="J770" t="s">
        <v>129</v>
      </c>
      <c r="K770" t="s">
        <v>74</v>
      </c>
      <c r="L770" t="s">
        <v>74</v>
      </c>
      <c r="M770" t="s">
        <v>78</v>
      </c>
      <c r="N770" t="s">
        <v>79</v>
      </c>
      <c r="O770" t="s">
        <v>74</v>
      </c>
      <c r="P770" t="s">
        <v>74</v>
      </c>
      <c r="Q770" t="s">
        <v>74</v>
      </c>
      <c r="R770" t="s">
        <v>74</v>
      </c>
      <c r="S770" t="s">
        <v>74</v>
      </c>
      <c r="T770" t="s">
        <v>74</v>
      </c>
      <c r="U770" t="s">
        <v>11662</v>
      </c>
      <c r="V770" t="s">
        <v>11663</v>
      </c>
      <c r="W770" t="s">
        <v>11664</v>
      </c>
      <c r="X770" t="s">
        <v>11665</v>
      </c>
      <c r="Y770" t="s">
        <v>11666</v>
      </c>
      <c r="Z770" t="s">
        <v>11667</v>
      </c>
      <c r="AA770" t="s">
        <v>74</v>
      </c>
      <c r="AB770" t="s">
        <v>74</v>
      </c>
      <c r="AC770" t="s">
        <v>74</v>
      </c>
      <c r="AD770" t="s">
        <v>74</v>
      </c>
      <c r="AE770" t="s">
        <v>74</v>
      </c>
      <c r="AF770" t="s">
        <v>74</v>
      </c>
      <c r="AG770">
        <v>49</v>
      </c>
      <c r="AH770">
        <v>1</v>
      </c>
      <c r="AI770">
        <v>1</v>
      </c>
      <c r="AJ770">
        <v>0</v>
      </c>
      <c r="AK770">
        <v>3</v>
      </c>
      <c r="AL770" t="s">
        <v>160</v>
      </c>
      <c r="AM770" t="s">
        <v>161</v>
      </c>
      <c r="AN770" t="s">
        <v>162</v>
      </c>
      <c r="AO770" t="s">
        <v>139</v>
      </c>
      <c r="AP770" t="s">
        <v>140</v>
      </c>
      <c r="AQ770" t="s">
        <v>74</v>
      </c>
      <c r="AR770" t="s">
        <v>141</v>
      </c>
      <c r="AS770" t="s">
        <v>142</v>
      </c>
      <c r="AT770" t="s">
        <v>11510</v>
      </c>
      <c r="AU770">
        <v>2006</v>
      </c>
      <c r="AV770">
        <v>38</v>
      </c>
      <c r="AW770">
        <v>1</v>
      </c>
      <c r="AX770" t="s">
        <v>74</v>
      </c>
      <c r="AY770" t="s">
        <v>74</v>
      </c>
      <c r="AZ770" t="s">
        <v>74</v>
      </c>
      <c r="BA770" t="s">
        <v>74</v>
      </c>
      <c r="BB770">
        <v>104</v>
      </c>
      <c r="BC770">
        <v>112</v>
      </c>
      <c r="BD770" t="s">
        <v>74</v>
      </c>
      <c r="BE770" t="s">
        <v>11668</v>
      </c>
      <c r="BF770" t="str">
        <f>HYPERLINK("http://dx.doi.org/10.1657/1523-0430(2006)038[0104:TTAROP]2.0.CO;2","http://dx.doi.org/10.1657/1523-0430(2006)038[0104:TTAROP]2.0.CO;2")</f>
        <v>http://dx.doi.org/10.1657/1523-0430(2006)038[0104:TTAROP]2.0.CO;2</v>
      </c>
      <c r="BG770" t="s">
        <v>74</v>
      </c>
      <c r="BH770" t="s">
        <v>74</v>
      </c>
      <c r="BI770">
        <v>9</v>
      </c>
      <c r="BJ770" t="s">
        <v>144</v>
      </c>
      <c r="BK770" t="s">
        <v>97</v>
      </c>
      <c r="BL770" t="s">
        <v>145</v>
      </c>
      <c r="BM770" t="s">
        <v>11552</v>
      </c>
      <c r="BN770" t="s">
        <v>74</v>
      </c>
      <c r="BO770" t="s">
        <v>147</v>
      </c>
      <c r="BP770" t="s">
        <v>74</v>
      </c>
      <c r="BQ770" t="s">
        <v>74</v>
      </c>
      <c r="BR770" t="s">
        <v>100</v>
      </c>
      <c r="BS770" t="s">
        <v>11669</v>
      </c>
      <c r="BT770" t="str">
        <f>HYPERLINK("https%3A%2F%2Fwww.webofscience.com%2Fwos%2Fwoscc%2Ffull-record%2FWOS:000235385100012","View Full Record in Web of Science")</f>
        <v>View Full Record in Web of Science</v>
      </c>
    </row>
    <row r="771" spans="1:72" x14ac:dyDescent="0.15">
      <c r="A771" t="s">
        <v>72</v>
      </c>
      <c r="B771" t="s">
        <v>11670</v>
      </c>
      <c r="C771" t="s">
        <v>74</v>
      </c>
      <c r="D771" t="s">
        <v>74</v>
      </c>
      <c r="E771" t="s">
        <v>74</v>
      </c>
      <c r="F771" t="s">
        <v>11670</v>
      </c>
      <c r="G771" t="s">
        <v>74</v>
      </c>
      <c r="H771" t="s">
        <v>74</v>
      </c>
      <c r="I771" t="s">
        <v>11671</v>
      </c>
      <c r="J771" t="s">
        <v>129</v>
      </c>
      <c r="K771" t="s">
        <v>74</v>
      </c>
      <c r="L771" t="s">
        <v>74</v>
      </c>
      <c r="M771" t="s">
        <v>78</v>
      </c>
      <c r="N771" t="s">
        <v>79</v>
      </c>
      <c r="O771" t="s">
        <v>74</v>
      </c>
      <c r="P771" t="s">
        <v>74</v>
      </c>
      <c r="Q771" t="s">
        <v>74</v>
      </c>
      <c r="R771" t="s">
        <v>74</v>
      </c>
      <c r="S771" t="s">
        <v>74</v>
      </c>
      <c r="T771" t="s">
        <v>74</v>
      </c>
      <c r="U771" t="s">
        <v>11672</v>
      </c>
      <c r="V771" t="s">
        <v>11673</v>
      </c>
      <c r="W771" t="s">
        <v>11674</v>
      </c>
      <c r="X771" t="s">
        <v>133</v>
      </c>
      <c r="Y771" t="s">
        <v>11675</v>
      </c>
      <c r="Z771" t="s">
        <v>11676</v>
      </c>
      <c r="AA771" t="s">
        <v>11677</v>
      </c>
      <c r="AB771" t="s">
        <v>11678</v>
      </c>
      <c r="AC771" t="s">
        <v>74</v>
      </c>
      <c r="AD771" t="s">
        <v>74</v>
      </c>
      <c r="AE771" t="s">
        <v>74</v>
      </c>
      <c r="AF771" t="s">
        <v>74</v>
      </c>
      <c r="AG771">
        <v>34</v>
      </c>
      <c r="AH771">
        <v>80</v>
      </c>
      <c r="AI771">
        <v>87</v>
      </c>
      <c r="AJ771">
        <v>0</v>
      </c>
      <c r="AK771">
        <v>24</v>
      </c>
      <c r="AL771" t="s">
        <v>160</v>
      </c>
      <c r="AM771" t="s">
        <v>161</v>
      </c>
      <c r="AN771" t="s">
        <v>162</v>
      </c>
      <c r="AO771" t="s">
        <v>139</v>
      </c>
      <c r="AP771" t="s">
        <v>140</v>
      </c>
      <c r="AQ771" t="s">
        <v>74</v>
      </c>
      <c r="AR771" t="s">
        <v>141</v>
      </c>
      <c r="AS771" t="s">
        <v>142</v>
      </c>
      <c r="AT771" t="s">
        <v>11510</v>
      </c>
      <c r="AU771">
        <v>2006</v>
      </c>
      <c r="AV771">
        <v>38</v>
      </c>
      <c r="AW771">
        <v>1</v>
      </c>
      <c r="AX771" t="s">
        <v>74</v>
      </c>
      <c r="AY771" t="s">
        <v>74</v>
      </c>
      <c r="AZ771" t="s">
        <v>74</v>
      </c>
      <c r="BA771" t="s">
        <v>74</v>
      </c>
      <c r="BB771">
        <v>113</v>
      </c>
      <c r="BC771">
        <v>119</v>
      </c>
      <c r="BD771" t="s">
        <v>74</v>
      </c>
      <c r="BE771" t="s">
        <v>11679</v>
      </c>
      <c r="BF771" t="str">
        <f>HYPERLINK("http://dx.doi.org/10.1657/1523-0430(2006)038[0113:ATOTTO]2.0.CO;2","http://dx.doi.org/10.1657/1523-0430(2006)038[0113:ATOTTO]2.0.CO;2")</f>
        <v>http://dx.doi.org/10.1657/1523-0430(2006)038[0113:ATOTTO]2.0.CO;2</v>
      </c>
      <c r="BG771" t="s">
        <v>74</v>
      </c>
      <c r="BH771" t="s">
        <v>74</v>
      </c>
      <c r="BI771">
        <v>7</v>
      </c>
      <c r="BJ771" t="s">
        <v>144</v>
      </c>
      <c r="BK771" t="s">
        <v>97</v>
      </c>
      <c r="BL771" t="s">
        <v>145</v>
      </c>
      <c r="BM771" t="s">
        <v>11552</v>
      </c>
      <c r="BN771" t="s">
        <v>74</v>
      </c>
      <c r="BO771" t="s">
        <v>2896</v>
      </c>
      <c r="BP771" t="s">
        <v>74</v>
      </c>
      <c r="BQ771" t="s">
        <v>74</v>
      </c>
      <c r="BR771" t="s">
        <v>100</v>
      </c>
      <c r="BS771" t="s">
        <v>11680</v>
      </c>
      <c r="BT771" t="str">
        <f>HYPERLINK("https%3A%2F%2Fwww.webofscience.com%2Fwos%2Fwoscc%2Ffull-record%2FWOS:000235385100013","View Full Record in Web of Science")</f>
        <v>View Full Record in Web of Science</v>
      </c>
    </row>
    <row r="772" spans="1:72" x14ac:dyDescent="0.15">
      <c r="A772" t="s">
        <v>72</v>
      </c>
      <c r="B772" t="s">
        <v>11681</v>
      </c>
      <c r="C772" t="s">
        <v>74</v>
      </c>
      <c r="D772" t="s">
        <v>74</v>
      </c>
      <c r="E772" t="s">
        <v>74</v>
      </c>
      <c r="F772" t="s">
        <v>11681</v>
      </c>
      <c r="G772" t="s">
        <v>74</v>
      </c>
      <c r="H772" t="s">
        <v>74</v>
      </c>
      <c r="I772" t="s">
        <v>11682</v>
      </c>
      <c r="J772" t="s">
        <v>129</v>
      </c>
      <c r="K772" t="s">
        <v>74</v>
      </c>
      <c r="L772" t="s">
        <v>74</v>
      </c>
      <c r="M772" t="s">
        <v>78</v>
      </c>
      <c r="N772" t="s">
        <v>79</v>
      </c>
      <c r="O772" t="s">
        <v>74</v>
      </c>
      <c r="P772" t="s">
        <v>74</v>
      </c>
      <c r="Q772" t="s">
        <v>74</v>
      </c>
      <c r="R772" t="s">
        <v>74</v>
      </c>
      <c r="S772" t="s">
        <v>74</v>
      </c>
      <c r="T772" t="s">
        <v>74</v>
      </c>
      <c r="U772" t="s">
        <v>11683</v>
      </c>
      <c r="V772" t="s">
        <v>11684</v>
      </c>
      <c r="W772" t="s">
        <v>11685</v>
      </c>
      <c r="X772" t="s">
        <v>11686</v>
      </c>
      <c r="Y772" t="s">
        <v>11687</v>
      </c>
      <c r="Z772" t="s">
        <v>11688</v>
      </c>
      <c r="AA772" t="s">
        <v>74</v>
      </c>
      <c r="AB772" t="s">
        <v>74</v>
      </c>
      <c r="AC772" t="s">
        <v>74</v>
      </c>
      <c r="AD772" t="s">
        <v>74</v>
      </c>
      <c r="AE772" t="s">
        <v>74</v>
      </c>
      <c r="AF772" t="s">
        <v>74</v>
      </c>
      <c r="AG772">
        <v>69</v>
      </c>
      <c r="AH772">
        <v>96</v>
      </c>
      <c r="AI772">
        <v>112</v>
      </c>
      <c r="AJ772">
        <v>0</v>
      </c>
      <c r="AK772">
        <v>18</v>
      </c>
      <c r="AL772" t="s">
        <v>136</v>
      </c>
      <c r="AM772" t="s">
        <v>137</v>
      </c>
      <c r="AN772" t="s">
        <v>138</v>
      </c>
      <c r="AO772" t="s">
        <v>139</v>
      </c>
      <c r="AP772" t="s">
        <v>140</v>
      </c>
      <c r="AQ772" t="s">
        <v>74</v>
      </c>
      <c r="AR772" t="s">
        <v>141</v>
      </c>
      <c r="AS772" t="s">
        <v>142</v>
      </c>
      <c r="AT772" t="s">
        <v>11510</v>
      </c>
      <c r="AU772">
        <v>2006</v>
      </c>
      <c r="AV772">
        <v>38</v>
      </c>
      <c r="AW772">
        <v>1</v>
      </c>
      <c r="AX772" t="s">
        <v>74</v>
      </c>
      <c r="AY772" t="s">
        <v>74</v>
      </c>
      <c r="AZ772" t="s">
        <v>74</v>
      </c>
      <c r="BA772" t="s">
        <v>74</v>
      </c>
      <c r="BB772">
        <v>120</v>
      </c>
      <c r="BC772">
        <v>130</v>
      </c>
      <c r="BD772" t="s">
        <v>74</v>
      </c>
      <c r="BE772" t="s">
        <v>11689</v>
      </c>
      <c r="BF772" t="str">
        <f>HYPERLINK("http://dx.doi.org/10.1657/1523-0430(2006)038[0120:EATLQA]2.0.CO;2","http://dx.doi.org/10.1657/1523-0430(2006)038[0120:EATLQA]2.0.CO;2")</f>
        <v>http://dx.doi.org/10.1657/1523-0430(2006)038[0120:EATLQA]2.0.CO;2</v>
      </c>
      <c r="BG772" t="s">
        <v>74</v>
      </c>
      <c r="BH772" t="s">
        <v>74</v>
      </c>
      <c r="BI772">
        <v>11</v>
      </c>
      <c r="BJ772" t="s">
        <v>144</v>
      </c>
      <c r="BK772" t="s">
        <v>97</v>
      </c>
      <c r="BL772" t="s">
        <v>145</v>
      </c>
      <c r="BM772" t="s">
        <v>11552</v>
      </c>
      <c r="BN772" t="s">
        <v>74</v>
      </c>
      <c r="BO772" t="s">
        <v>147</v>
      </c>
      <c r="BP772" t="s">
        <v>74</v>
      </c>
      <c r="BQ772" t="s">
        <v>74</v>
      </c>
      <c r="BR772" t="s">
        <v>100</v>
      </c>
      <c r="BS772" t="s">
        <v>11690</v>
      </c>
      <c r="BT772" t="str">
        <f>HYPERLINK("https%3A%2F%2Fwww.webofscience.com%2Fwos%2Fwoscc%2Ffull-record%2FWOS:000235385100014","View Full Record in Web of Science")</f>
        <v>View Full Record in Web of Science</v>
      </c>
    </row>
    <row r="773" spans="1:72" x14ac:dyDescent="0.15">
      <c r="A773" t="s">
        <v>72</v>
      </c>
      <c r="B773" t="s">
        <v>11691</v>
      </c>
      <c r="C773" t="s">
        <v>74</v>
      </c>
      <c r="D773" t="s">
        <v>74</v>
      </c>
      <c r="E773" t="s">
        <v>74</v>
      </c>
      <c r="F773" t="s">
        <v>11691</v>
      </c>
      <c r="G773" t="s">
        <v>74</v>
      </c>
      <c r="H773" t="s">
        <v>74</v>
      </c>
      <c r="I773" t="s">
        <v>11692</v>
      </c>
      <c r="J773" t="s">
        <v>129</v>
      </c>
      <c r="K773" t="s">
        <v>74</v>
      </c>
      <c r="L773" t="s">
        <v>74</v>
      </c>
      <c r="M773" t="s">
        <v>78</v>
      </c>
      <c r="N773" t="s">
        <v>79</v>
      </c>
      <c r="O773" t="s">
        <v>74</v>
      </c>
      <c r="P773" t="s">
        <v>74</v>
      </c>
      <c r="Q773" t="s">
        <v>74</v>
      </c>
      <c r="R773" t="s">
        <v>74</v>
      </c>
      <c r="S773" t="s">
        <v>74</v>
      </c>
      <c r="T773" t="s">
        <v>74</v>
      </c>
      <c r="U773" t="s">
        <v>11693</v>
      </c>
      <c r="V773" t="s">
        <v>11694</v>
      </c>
      <c r="W773" t="s">
        <v>11695</v>
      </c>
      <c r="X773" t="s">
        <v>11696</v>
      </c>
      <c r="Y773" t="s">
        <v>11697</v>
      </c>
      <c r="Z773" t="s">
        <v>11698</v>
      </c>
      <c r="AA773" t="s">
        <v>11699</v>
      </c>
      <c r="AB773" t="s">
        <v>74</v>
      </c>
      <c r="AC773" t="s">
        <v>74</v>
      </c>
      <c r="AD773" t="s">
        <v>74</v>
      </c>
      <c r="AE773" t="s">
        <v>74</v>
      </c>
      <c r="AF773" t="s">
        <v>74</v>
      </c>
      <c r="AG773">
        <v>39</v>
      </c>
      <c r="AH773">
        <v>7</v>
      </c>
      <c r="AI773">
        <v>11</v>
      </c>
      <c r="AJ773">
        <v>1</v>
      </c>
      <c r="AK773">
        <v>32</v>
      </c>
      <c r="AL773" t="s">
        <v>136</v>
      </c>
      <c r="AM773" t="s">
        <v>137</v>
      </c>
      <c r="AN773" t="s">
        <v>138</v>
      </c>
      <c r="AO773" t="s">
        <v>139</v>
      </c>
      <c r="AP773" t="s">
        <v>140</v>
      </c>
      <c r="AQ773" t="s">
        <v>74</v>
      </c>
      <c r="AR773" t="s">
        <v>141</v>
      </c>
      <c r="AS773" t="s">
        <v>142</v>
      </c>
      <c r="AT773" t="s">
        <v>11510</v>
      </c>
      <c r="AU773">
        <v>2006</v>
      </c>
      <c r="AV773">
        <v>38</v>
      </c>
      <c r="AW773">
        <v>1</v>
      </c>
      <c r="AX773" t="s">
        <v>74</v>
      </c>
      <c r="AY773" t="s">
        <v>74</v>
      </c>
      <c r="AZ773" t="s">
        <v>74</v>
      </c>
      <c r="BA773" t="s">
        <v>74</v>
      </c>
      <c r="BB773">
        <v>131</v>
      </c>
      <c r="BC773">
        <v>135</v>
      </c>
      <c r="BD773" t="s">
        <v>74</v>
      </c>
      <c r="BE773" t="s">
        <v>11700</v>
      </c>
      <c r="BF773" t="str">
        <f>HYPERLINK("http://dx.doi.org/10.1657/1523-0430(2006)038[0131:PDARTR]2.0.CO;2","http://dx.doi.org/10.1657/1523-0430(2006)038[0131:PDARTR]2.0.CO;2")</f>
        <v>http://dx.doi.org/10.1657/1523-0430(2006)038[0131:PDARTR]2.0.CO;2</v>
      </c>
      <c r="BG773" t="s">
        <v>74</v>
      </c>
      <c r="BH773" t="s">
        <v>74</v>
      </c>
      <c r="BI773">
        <v>5</v>
      </c>
      <c r="BJ773" t="s">
        <v>144</v>
      </c>
      <c r="BK773" t="s">
        <v>97</v>
      </c>
      <c r="BL773" t="s">
        <v>145</v>
      </c>
      <c r="BM773" t="s">
        <v>11552</v>
      </c>
      <c r="BN773" t="s">
        <v>74</v>
      </c>
      <c r="BO773" t="s">
        <v>164</v>
      </c>
      <c r="BP773" t="s">
        <v>74</v>
      </c>
      <c r="BQ773" t="s">
        <v>74</v>
      </c>
      <c r="BR773" t="s">
        <v>100</v>
      </c>
      <c r="BS773" t="s">
        <v>11701</v>
      </c>
      <c r="BT773" t="str">
        <f>HYPERLINK("https%3A%2F%2Fwww.webofscience.com%2Fwos%2Fwoscc%2Ffull-record%2FWOS:000235385100015","View Full Record in Web of Science")</f>
        <v>View Full Record in Web of Science</v>
      </c>
    </row>
    <row r="774" spans="1:72" x14ac:dyDescent="0.15">
      <c r="A774" t="s">
        <v>72</v>
      </c>
      <c r="B774" t="s">
        <v>11702</v>
      </c>
      <c r="C774" t="s">
        <v>74</v>
      </c>
      <c r="D774" t="s">
        <v>74</v>
      </c>
      <c r="E774" t="s">
        <v>74</v>
      </c>
      <c r="F774" t="s">
        <v>11702</v>
      </c>
      <c r="G774" t="s">
        <v>74</v>
      </c>
      <c r="H774" t="s">
        <v>74</v>
      </c>
      <c r="I774" t="s">
        <v>11703</v>
      </c>
      <c r="J774" t="s">
        <v>129</v>
      </c>
      <c r="K774" t="s">
        <v>74</v>
      </c>
      <c r="L774" t="s">
        <v>74</v>
      </c>
      <c r="M774" t="s">
        <v>78</v>
      </c>
      <c r="N774" t="s">
        <v>79</v>
      </c>
      <c r="O774" t="s">
        <v>74</v>
      </c>
      <c r="P774" t="s">
        <v>74</v>
      </c>
      <c r="Q774" t="s">
        <v>74</v>
      </c>
      <c r="R774" t="s">
        <v>74</v>
      </c>
      <c r="S774" t="s">
        <v>74</v>
      </c>
      <c r="T774" t="s">
        <v>74</v>
      </c>
      <c r="U774" t="s">
        <v>11704</v>
      </c>
      <c r="V774" t="s">
        <v>11705</v>
      </c>
      <c r="W774" t="s">
        <v>11706</v>
      </c>
      <c r="X774" t="s">
        <v>11707</v>
      </c>
      <c r="Y774" t="s">
        <v>11708</v>
      </c>
      <c r="Z774" t="s">
        <v>11709</v>
      </c>
      <c r="AA774" t="s">
        <v>74</v>
      </c>
      <c r="AB774" t="s">
        <v>74</v>
      </c>
      <c r="AC774" t="s">
        <v>74</v>
      </c>
      <c r="AD774" t="s">
        <v>74</v>
      </c>
      <c r="AE774" t="s">
        <v>74</v>
      </c>
      <c r="AF774" t="s">
        <v>74</v>
      </c>
      <c r="AG774">
        <v>42</v>
      </c>
      <c r="AH774">
        <v>46</v>
      </c>
      <c r="AI774">
        <v>54</v>
      </c>
      <c r="AJ774">
        <v>0</v>
      </c>
      <c r="AK774">
        <v>9</v>
      </c>
      <c r="AL774" t="s">
        <v>136</v>
      </c>
      <c r="AM774" t="s">
        <v>137</v>
      </c>
      <c r="AN774" t="s">
        <v>138</v>
      </c>
      <c r="AO774" t="s">
        <v>139</v>
      </c>
      <c r="AP774" t="s">
        <v>140</v>
      </c>
      <c r="AQ774" t="s">
        <v>74</v>
      </c>
      <c r="AR774" t="s">
        <v>141</v>
      </c>
      <c r="AS774" t="s">
        <v>142</v>
      </c>
      <c r="AT774" t="s">
        <v>11510</v>
      </c>
      <c r="AU774">
        <v>2006</v>
      </c>
      <c r="AV774">
        <v>38</v>
      </c>
      <c r="AW774">
        <v>1</v>
      </c>
      <c r="AX774" t="s">
        <v>74</v>
      </c>
      <c r="AY774" t="s">
        <v>74</v>
      </c>
      <c r="AZ774" t="s">
        <v>74</v>
      </c>
      <c r="BA774" t="s">
        <v>74</v>
      </c>
      <c r="BB774">
        <v>136</v>
      </c>
      <c r="BC774">
        <v>146</v>
      </c>
      <c r="BD774" t="s">
        <v>74</v>
      </c>
      <c r="BE774" t="s">
        <v>11710</v>
      </c>
      <c r="BF774" t="str">
        <f>HYPERLINK("http://dx.doi.org/10.1657/1523-0430(2006)038[0136:SVITFD]2.0.CO;2","http://dx.doi.org/10.1657/1523-0430(2006)038[0136:SVITFD]2.0.CO;2")</f>
        <v>http://dx.doi.org/10.1657/1523-0430(2006)038[0136:SVITFD]2.0.CO;2</v>
      </c>
      <c r="BG774" t="s">
        <v>74</v>
      </c>
      <c r="BH774" t="s">
        <v>74</v>
      </c>
      <c r="BI774">
        <v>11</v>
      </c>
      <c r="BJ774" t="s">
        <v>144</v>
      </c>
      <c r="BK774" t="s">
        <v>97</v>
      </c>
      <c r="BL774" t="s">
        <v>145</v>
      </c>
      <c r="BM774" t="s">
        <v>11552</v>
      </c>
      <c r="BN774" t="s">
        <v>74</v>
      </c>
      <c r="BO774" t="s">
        <v>147</v>
      </c>
      <c r="BP774" t="s">
        <v>74</v>
      </c>
      <c r="BQ774" t="s">
        <v>74</v>
      </c>
      <c r="BR774" t="s">
        <v>100</v>
      </c>
      <c r="BS774" t="s">
        <v>11711</v>
      </c>
      <c r="BT774" t="str">
        <f>HYPERLINK("https%3A%2F%2Fwww.webofscience.com%2Fwos%2Fwoscc%2Ffull-record%2FWOS:000235385100016","View Full Record in Web of Science")</f>
        <v>View Full Record in Web of Science</v>
      </c>
    </row>
    <row r="775" spans="1:72" x14ac:dyDescent="0.15">
      <c r="A775" t="s">
        <v>72</v>
      </c>
      <c r="B775" t="s">
        <v>11712</v>
      </c>
      <c r="C775" t="s">
        <v>74</v>
      </c>
      <c r="D775" t="s">
        <v>74</v>
      </c>
      <c r="E775" t="s">
        <v>74</v>
      </c>
      <c r="F775" t="s">
        <v>11712</v>
      </c>
      <c r="G775" t="s">
        <v>74</v>
      </c>
      <c r="H775" t="s">
        <v>74</v>
      </c>
      <c r="I775" t="s">
        <v>11713</v>
      </c>
      <c r="J775" t="s">
        <v>129</v>
      </c>
      <c r="K775" t="s">
        <v>74</v>
      </c>
      <c r="L775" t="s">
        <v>74</v>
      </c>
      <c r="M775" t="s">
        <v>78</v>
      </c>
      <c r="N775" t="s">
        <v>79</v>
      </c>
      <c r="O775" t="s">
        <v>74</v>
      </c>
      <c r="P775" t="s">
        <v>74</v>
      </c>
      <c r="Q775" t="s">
        <v>74</v>
      </c>
      <c r="R775" t="s">
        <v>74</v>
      </c>
      <c r="S775" t="s">
        <v>74</v>
      </c>
      <c r="T775" t="s">
        <v>74</v>
      </c>
      <c r="U775" t="s">
        <v>11714</v>
      </c>
      <c r="V775" t="s">
        <v>11715</v>
      </c>
      <c r="W775" t="s">
        <v>2646</v>
      </c>
      <c r="X775" t="s">
        <v>407</v>
      </c>
      <c r="Y775" t="s">
        <v>10234</v>
      </c>
      <c r="Z775" t="s">
        <v>6317</v>
      </c>
      <c r="AA775" t="s">
        <v>9122</v>
      </c>
      <c r="AB775" t="s">
        <v>9123</v>
      </c>
      <c r="AC775" t="s">
        <v>74</v>
      </c>
      <c r="AD775" t="s">
        <v>74</v>
      </c>
      <c r="AE775" t="s">
        <v>74</v>
      </c>
      <c r="AF775" t="s">
        <v>74</v>
      </c>
      <c r="AG775">
        <v>29</v>
      </c>
      <c r="AH775">
        <v>142</v>
      </c>
      <c r="AI775">
        <v>161</v>
      </c>
      <c r="AJ775">
        <v>0</v>
      </c>
      <c r="AK775">
        <v>32</v>
      </c>
      <c r="AL775" t="s">
        <v>136</v>
      </c>
      <c r="AM775" t="s">
        <v>137</v>
      </c>
      <c r="AN775" t="s">
        <v>138</v>
      </c>
      <c r="AO775" t="s">
        <v>139</v>
      </c>
      <c r="AP775" t="s">
        <v>140</v>
      </c>
      <c r="AQ775" t="s">
        <v>74</v>
      </c>
      <c r="AR775" t="s">
        <v>141</v>
      </c>
      <c r="AS775" t="s">
        <v>142</v>
      </c>
      <c r="AT775" t="s">
        <v>11510</v>
      </c>
      <c r="AU775">
        <v>2006</v>
      </c>
      <c r="AV775">
        <v>38</v>
      </c>
      <c r="AW775">
        <v>1</v>
      </c>
      <c r="AX775" t="s">
        <v>74</v>
      </c>
      <c r="AY775" t="s">
        <v>74</v>
      </c>
      <c r="AZ775" t="s">
        <v>74</v>
      </c>
      <c r="BA775" t="s">
        <v>74</v>
      </c>
      <c r="BB775">
        <v>147</v>
      </c>
      <c r="BC775">
        <v>152</v>
      </c>
      <c r="BD775" t="s">
        <v>74</v>
      </c>
      <c r="BE775" t="s">
        <v>11716</v>
      </c>
      <c r="BF775" t="str">
        <f>HYPERLINK("http://dx.doi.org/10.1657/1523-0430(2006)038[0147:RTIMCO]2.0.CO;2","http://dx.doi.org/10.1657/1523-0430(2006)038[0147:RTIMCO]2.0.CO;2")</f>
        <v>http://dx.doi.org/10.1657/1523-0430(2006)038[0147:RTIMCO]2.0.CO;2</v>
      </c>
      <c r="BG775" t="s">
        <v>74</v>
      </c>
      <c r="BH775" t="s">
        <v>74</v>
      </c>
      <c r="BI775">
        <v>6</v>
      </c>
      <c r="BJ775" t="s">
        <v>144</v>
      </c>
      <c r="BK775" t="s">
        <v>97</v>
      </c>
      <c r="BL775" t="s">
        <v>145</v>
      </c>
      <c r="BM775" t="s">
        <v>11552</v>
      </c>
      <c r="BN775" t="s">
        <v>74</v>
      </c>
      <c r="BO775" t="s">
        <v>886</v>
      </c>
      <c r="BP775" t="s">
        <v>74</v>
      </c>
      <c r="BQ775" t="s">
        <v>74</v>
      </c>
      <c r="BR775" t="s">
        <v>100</v>
      </c>
      <c r="BS775" t="s">
        <v>11717</v>
      </c>
      <c r="BT775" t="str">
        <f>HYPERLINK("https%3A%2F%2Fwww.webofscience.com%2Fwos%2Fwoscc%2Ffull-record%2FWOS:000235385100017","View Full Record in Web of Science")</f>
        <v>View Full Record in Web of Science</v>
      </c>
    </row>
    <row r="776" spans="1:72" x14ac:dyDescent="0.15">
      <c r="A776" t="s">
        <v>72</v>
      </c>
      <c r="B776" t="s">
        <v>1279</v>
      </c>
      <c r="C776" t="s">
        <v>74</v>
      </c>
      <c r="D776" t="s">
        <v>74</v>
      </c>
      <c r="E776" t="s">
        <v>74</v>
      </c>
      <c r="F776" t="s">
        <v>1279</v>
      </c>
      <c r="G776" t="s">
        <v>74</v>
      </c>
      <c r="H776" t="s">
        <v>74</v>
      </c>
      <c r="I776" t="s">
        <v>11718</v>
      </c>
      <c r="J776" t="s">
        <v>11719</v>
      </c>
      <c r="K776" t="s">
        <v>74</v>
      </c>
      <c r="L776" t="s">
        <v>74</v>
      </c>
      <c r="M776" t="s">
        <v>78</v>
      </c>
      <c r="N776" t="s">
        <v>52</v>
      </c>
      <c r="O776" t="s">
        <v>74</v>
      </c>
      <c r="P776" t="s">
        <v>74</v>
      </c>
      <c r="Q776" t="s">
        <v>74</v>
      </c>
      <c r="R776" t="s">
        <v>74</v>
      </c>
      <c r="S776" t="s">
        <v>74</v>
      </c>
      <c r="T776" t="s">
        <v>74</v>
      </c>
      <c r="U776" t="s">
        <v>74</v>
      </c>
      <c r="V776" t="s">
        <v>74</v>
      </c>
      <c r="W776" t="s">
        <v>74</v>
      </c>
      <c r="X776" t="s">
        <v>74</v>
      </c>
      <c r="Y776" t="s">
        <v>74</v>
      </c>
      <c r="Z776" t="s">
        <v>74</v>
      </c>
      <c r="AA776" t="s">
        <v>74</v>
      </c>
      <c r="AB776" t="s">
        <v>74</v>
      </c>
      <c r="AC776" t="s">
        <v>74</v>
      </c>
      <c r="AD776" t="s">
        <v>74</v>
      </c>
      <c r="AE776" t="s">
        <v>74</v>
      </c>
      <c r="AF776" t="s">
        <v>74</v>
      </c>
      <c r="AG776">
        <v>0</v>
      </c>
      <c r="AH776">
        <v>0</v>
      </c>
      <c r="AI776">
        <v>0</v>
      </c>
      <c r="AJ776">
        <v>0</v>
      </c>
      <c r="AK776">
        <v>1</v>
      </c>
      <c r="AL776" t="s">
        <v>11720</v>
      </c>
      <c r="AM776" t="s">
        <v>11721</v>
      </c>
      <c r="AN776" t="s">
        <v>11722</v>
      </c>
      <c r="AO776" t="s">
        <v>11723</v>
      </c>
      <c r="AP776" t="s">
        <v>74</v>
      </c>
      <c r="AQ776" t="s">
        <v>74</v>
      </c>
      <c r="AR776" t="s">
        <v>11719</v>
      </c>
      <c r="AS776" t="s">
        <v>11724</v>
      </c>
      <c r="AT776" t="s">
        <v>11510</v>
      </c>
      <c r="AU776">
        <v>2006</v>
      </c>
      <c r="AV776">
        <v>6</v>
      </c>
      <c r="AW776">
        <v>1</v>
      </c>
      <c r="AX776" t="s">
        <v>74</v>
      </c>
      <c r="AY776" t="s">
        <v>74</v>
      </c>
      <c r="AZ776" t="s">
        <v>74</v>
      </c>
      <c r="BA776" t="s">
        <v>74</v>
      </c>
      <c r="BB776">
        <v>154</v>
      </c>
      <c r="BC776">
        <v>155</v>
      </c>
      <c r="BD776" t="s">
        <v>74</v>
      </c>
      <c r="BE776" t="s">
        <v>74</v>
      </c>
      <c r="BF776" t="s">
        <v>74</v>
      </c>
      <c r="BG776" t="s">
        <v>74</v>
      </c>
      <c r="BH776" t="s">
        <v>74</v>
      </c>
      <c r="BI776">
        <v>2</v>
      </c>
      <c r="BJ776" t="s">
        <v>8543</v>
      </c>
      <c r="BK776" t="s">
        <v>97</v>
      </c>
      <c r="BL776" t="s">
        <v>8544</v>
      </c>
      <c r="BM776" t="s">
        <v>11725</v>
      </c>
      <c r="BN776" t="s">
        <v>74</v>
      </c>
      <c r="BO776" t="s">
        <v>74</v>
      </c>
      <c r="BP776" t="s">
        <v>74</v>
      </c>
      <c r="BQ776" t="s">
        <v>74</v>
      </c>
      <c r="BR776" t="s">
        <v>100</v>
      </c>
      <c r="BS776" t="s">
        <v>11726</v>
      </c>
      <c r="BT776" t="str">
        <f>HYPERLINK("https%3A%2F%2Fwww.webofscience.com%2Fwos%2Fwoscc%2Ffull-record%2FWOS:000236246000173","View Full Record in Web of Science")</f>
        <v>View Full Record in Web of Science</v>
      </c>
    </row>
    <row r="777" spans="1:72" x14ac:dyDescent="0.15">
      <c r="A777" t="s">
        <v>72</v>
      </c>
      <c r="B777" t="s">
        <v>1279</v>
      </c>
      <c r="C777" t="s">
        <v>74</v>
      </c>
      <c r="D777" t="s">
        <v>74</v>
      </c>
      <c r="E777" t="s">
        <v>74</v>
      </c>
      <c r="F777" t="s">
        <v>1279</v>
      </c>
      <c r="G777" t="s">
        <v>74</v>
      </c>
      <c r="H777" t="s">
        <v>74</v>
      </c>
      <c r="I777" t="s">
        <v>11727</v>
      </c>
      <c r="J777" t="s">
        <v>11719</v>
      </c>
      <c r="K777" t="s">
        <v>74</v>
      </c>
      <c r="L777" t="s">
        <v>74</v>
      </c>
      <c r="M777" t="s">
        <v>78</v>
      </c>
      <c r="N777" t="s">
        <v>52</v>
      </c>
      <c r="O777" t="s">
        <v>74</v>
      </c>
      <c r="P777" t="s">
        <v>74</v>
      </c>
      <c r="Q777" t="s">
        <v>74</v>
      </c>
      <c r="R777" t="s">
        <v>74</v>
      </c>
      <c r="S777" t="s">
        <v>74</v>
      </c>
      <c r="T777" t="s">
        <v>74</v>
      </c>
      <c r="U777" t="s">
        <v>74</v>
      </c>
      <c r="V777" t="s">
        <v>74</v>
      </c>
      <c r="W777" t="s">
        <v>74</v>
      </c>
      <c r="X777" t="s">
        <v>74</v>
      </c>
      <c r="Y777" t="s">
        <v>74</v>
      </c>
      <c r="Z777" t="s">
        <v>74</v>
      </c>
      <c r="AA777" t="s">
        <v>74</v>
      </c>
      <c r="AB777" t="s">
        <v>74</v>
      </c>
      <c r="AC777" t="s">
        <v>74</v>
      </c>
      <c r="AD777" t="s">
        <v>74</v>
      </c>
      <c r="AE777" t="s">
        <v>74</v>
      </c>
      <c r="AF777" t="s">
        <v>74</v>
      </c>
      <c r="AG777">
        <v>0</v>
      </c>
      <c r="AH777">
        <v>0</v>
      </c>
      <c r="AI777">
        <v>0</v>
      </c>
      <c r="AJ777">
        <v>0</v>
      </c>
      <c r="AK777">
        <v>1</v>
      </c>
      <c r="AL777" t="s">
        <v>11720</v>
      </c>
      <c r="AM777" t="s">
        <v>11721</v>
      </c>
      <c r="AN777" t="s">
        <v>11722</v>
      </c>
      <c r="AO777" t="s">
        <v>11723</v>
      </c>
      <c r="AP777" t="s">
        <v>74</v>
      </c>
      <c r="AQ777" t="s">
        <v>74</v>
      </c>
      <c r="AR777" t="s">
        <v>11719</v>
      </c>
      <c r="AS777" t="s">
        <v>11724</v>
      </c>
      <c r="AT777" t="s">
        <v>11510</v>
      </c>
      <c r="AU777">
        <v>2006</v>
      </c>
      <c r="AV777">
        <v>6</v>
      </c>
      <c r="AW777">
        <v>1</v>
      </c>
      <c r="AX777" t="s">
        <v>74</v>
      </c>
      <c r="AY777" t="s">
        <v>74</v>
      </c>
      <c r="AZ777" t="s">
        <v>74</v>
      </c>
      <c r="BA777" t="s">
        <v>74</v>
      </c>
      <c r="BB777">
        <v>167</v>
      </c>
      <c r="BC777">
        <v>168</v>
      </c>
      <c r="BD777" t="s">
        <v>74</v>
      </c>
      <c r="BE777" t="s">
        <v>74</v>
      </c>
      <c r="BF777" t="s">
        <v>74</v>
      </c>
      <c r="BG777" t="s">
        <v>74</v>
      </c>
      <c r="BH777" t="s">
        <v>74</v>
      </c>
      <c r="BI777">
        <v>2</v>
      </c>
      <c r="BJ777" t="s">
        <v>8543</v>
      </c>
      <c r="BK777" t="s">
        <v>97</v>
      </c>
      <c r="BL777" t="s">
        <v>8544</v>
      </c>
      <c r="BM777" t="s">
        <v>11725</v>
      </c>
      <c r="BN777" t="s">
        <v>74</v>
      </c>
      <c r="BO777" t="s">
        <v>74</v>
      </c>
      <c r="BP777" t="s">
        <v>74</v>
      </c>
      <c r="BQ777" t="s">
        <v>74</v>
      </c>
      <c r="BR777" t="s">
        <v>100</v>
      </c>
      <c r="BS777" t="s">
        <v>11728</v>
      </c>
      <c r="BT777" t="str">
        <f>HYPERLINK("https%3A%2F%2Fwww.webofscience.com%2Fwos%2Fwoscc%2Ffull-record%2FWOS:000236246000206","View Full Record in Web of Science")</f>
        <v>View Full Record in Web of Science</v>
      </c>
    </row>
    <row r="778" spans="1:72" x14ac:dyDescent="0.15">
      <c r="A778" t="s">
        <v>72</v>
      </c>
      <c r="B778" t="s">
        <v>1279</v>
      </c>
      <c r="C778" t="s">
        <v>74</v>
      </c>
      <c r="D778" t="s">
        <v>74</v>
      </c>
      <c r="E778" t="s">
        <v>74</v>
      </c>
      <c r="F778" t="s">
        <v>1279</v>
      </c>
      <c r="G778" t="s">
        <v>74</v>
      </c>
      <c r="H778" t="s">
        <v>74</v>
      </c>
      <c r="I778" t="s">
        <v>11729</v>
      </c>
      <c r="J778" t="s">
        <v>11719</v>
      </c>
      <c r="K778" t="s">
        <v>74</v>
      </c>
      <c r="L778" t="s">
        <v>74</v>
      </c>
      <c r="M778" t="s">
        <v>78</v>
      </c>
      <c r="N778" t="s">
        <v>52</v>
      </c>
      <c r="O778" t="s">
        <v>74</v>
      </c>
      <c r="P778" t="s">
        <v>74</v>
      </c>
      <c r="Q778" t="s">
        <v>74</v>
      </c>
      <c r="R778" t="s">
        <v>74</v>
      </c>
      <c r="S778" t="s">
        <v>74</v>
      </c>
      <c r="T778" t="s">
        <v>74</v>
      </c>
      <c r="U778" t="s">
        <v>74</v>
      </c>
      <c r="V778" t="s">
        <v>74</v>
      </c>
      <c r="W778" t="s">
        <v>74</v>
      </c>
      <c r="X778" t="s">
        <v>74</v>
      </c>
      <c r="Y778" t="s">
        <v>74</v>
      </c>
      <c r="Z778" t="s">
        <v>74</v>
      </c>
      <c r="AA778" t="s">
        <v>74</v>
      </c>
      <c r="AB778" t="s">
        <v>74</v>
      </c>
      <c r="AC778" t="s">
        <v>74</v>
      </c>
      <c r="AD778" t="s">
        <v>74</v>
      </c>
      <c r="AE778" t="s">
        <v>74</v>
      </c>
      <c r="AF778" t="s">
        <v>74</v>
      </c>
      <c r="AG778">
        <v>0</v>
      </c>
      <c r="AH778">
        <v>0</v>
      </c>
      <c r="AI778">
        <v>0</v>
      </c>
      <c r="AJ778">
        <v>0</v>
      </c>
      <c r="AK778">
        <v>1</v>
      </c>
      <c r="AL778" t="s">
        <v>11720</v>
      </c>
      <c r="AM778" t="s">
        <v>11721</v>
      </c>
      <c r="AN778" t="s">
        <v>11722</v>
      </c>
      <c r="AO778" t="s">
        <v>11723</v>
      </c>
      <c r="AP778" t="s">
        <v>74</v>
      </c>
      <c r="AQ778" t="s">
        <v>74</v>
      </c>
      <c r="AR778" t="s">
        <v>11719</v>
      </c>
      <c r="AS778" t="s">
        <v>11724</v>
      </c>
      <c r="AT778" t="s">
        <v>11510</v>
      </c>
      <c r="AU778">
        <v>2006</v>
      </c>
      <c r="AV778">
        <v>6</v>
      </c>
      <c r="AW778">
        <v>1</v>
      </c>
      <c r="AX778" t="s">
        <v>74</v>
      </c>
      <c r="AY778" t="s">
        <v>74</v>
      </c>
      <c r="AZ778" t="s">
        <v>74</v>
      </c>
      <c r="BA778" t="s">
        <v>74</v>
      </c>
      <c r="BB778">
        <v>174</v>
      </c>
      <c r="BC778">
        <v>174</v>
      </c>
      <c r="BD778" t="s">
        <v>74</v>
      </c>
      <c r="BE778" t="s">
        <v>74</v>
      </c>
      <c r="BF778" t="s">
        <v>74</v>
      </c>
      <c r="BG778" t="s">
        <v>74</v>
      </c>
      <c r="BH778" t="s">
        <v>74</v>
      </c>
      <c r="BI778">
        <v>1</v>
      </c>
      <c r="BJ778" t="s">
        <v>8543</v>
      </c>
      <c r="BK778" t="s">
        <v>97</v>
      </c>
      <c r="BL778" t="s">
        <v>8544</v>
      </c>
      <c r="BM778" t="s">
        <v>11725</v>
      </c>
      <c r="BN778" t="s">
        <v>74</v>
      </c>
      <c r="BO778" t="s">
        <v>74</v>
      </c>
      <c r="BP778" t="s">
        <v>74</v>
      </c>
      <c r="BQ778" t="s">
        <v>74</v>
      </c>
      <c r="BR778" t="s">
        <v>100</v>
      </c>
      <c r="BS778" t="s">
        <v>11730</v>
      </c>
      <c r="BT778" t="str">
        <f>HYPERLINK("https%3A%2F%2Fwww.webofscience.com%2Fwos%2Fwoscc%2Ffull-record%2FWOS:000236246000223","View Full Record in Web of Science")</f>
        <v>View Full Record in Web of Science</v>
      </c>
    </row>
    <row r="779" spans="1:72" x14ac:dyDescent="0.15">
      <c r="A779" t="s">
        <v>72</v>
      </c>
      <c r="B779" t="s">
        <v>1279</v>
      </c>
      <c r="C779" t="s">
        <v>74</v>
      </c>
      <c r="D779" t="s">
        <v>74</v>
      </c>
      <c r="E779" t="s">
        <v>74</v>
      </c>
      <c r="F779" t="s">
        <v>1279</v>
      </c>
      <c r="G779" t="s">
        <v>74</v>
      </c>
      <c r="H779" t="s">
        <v>74</v>
      </c>
      <c r="I779" t="s">
        <v>11731</v>
      </c>
      <c r="J779" t="s">
        <v>11719</v>
      </c>
      <c r="K779" t="s">
        <v>74</v>
      </c>
      <c r="L779" t="s">
        <v>74</v>
      </c>
      <c r="M779" t="s">
        <v>78</v>
      </c>
      <c r="N779" t="s">
        <v>52</v>
      </c>
      <c r="O779" t="s">
        <v>74</v>
      </c>
      <c r="P779" t="s">
        <v>74</v>
      </c>
      <c r="Q779" t="s">
        <v>74</v>
      </c>
      <c r="R779" t="s">
        <v>74</v>
      </c>
      <c r="S779" t="s">
        <v>74</v>
      </c>
      <c r="T779" t="s">
        <v>74</v>
      </c>
      <c r="U779" t="s">
        <v>74</v>
      </c>
      <c r="V779" t="s">
        <v>74</v>
      </c>
      <c r="W779" t="s">
        <v>74</v>
      </c>
      <c r="X779" t="s">
        <v>74</v>
      </c>
      <c r="Y779" t="s">
        <v>74</v>
      </c>
      <c r="Z779" t="s">
        <v>74</v>
      </c>
      <c r="AA779" t="s">
        <v>74</v>
      </c>
      <c r="AB779" t="s">
        <v>74</v>
      </c>
      <c r="AC779" t="s">
        <v>74</v>
      </c>
      <c r="AD779" t="s">
        <v>74</v>
      </c>
      <c r="AE779" t="s">
        <v>74</v>
      </c>
      <c r="AF779" t="s">
        <v>74</v>
      </c>
      <c r="AG779">
        <v>0</v>
      </c>
      <c r="AH779">
        <v>0</v>
      </c>
      <c r="AI779">
        <v>0</v>
      </c>
      <c r="AJ779">
        <v>0</v>
      </c>
      <c r="AK779">
        <v>1</v>
      </c>
      <c r="AL779" t="s">
        <v>11720</v>
      </c>
      <c r="AM779" t="s">
        <v>11721</v>
      </c>
      <c r="AN779" t="s">
        <v>11722</v>
      </c>
      <c r="AO779" t="s">
        <v>11723</v>
      </c>
      <c r="AP779" t="s">
        <v>74</v>
      </c>
      <c r="AQ779" t="s">
        <v>74</v>
      </c>
      <c r="AR779" t="s">
        <v>11719</v>
      </c>
      <c r="AS779" t="s">
        <v>11724</v>
      </c>
      <c r="AT779" t="s">
        <v>11510</v>
      </c>
      <c r="AU779">
        <v>2006</v>
      </c>
      <c r="AV779">
        <v>6</v>
      </c>
      <c r="AW779">
        <v>1</v>
      </c>
      <c r="AX779" t="s">
        <v>74</v>
      </c>
      <c r="AY779" t="s">
        <v>74</v>
      </c>
      <c r="AZ779" t="s">
        <v>74</v>
      </c>
      <c r="BA779" t="s">
        <v>74</v>
      </c>
      <c r="BB779">
        <v>249</v>
      </c>
      <c r="BC779">
        <v>250</v>
      </c>
      <c r="BD779" t="s">
        <v>74</v>
      </c>
      <c r="BE779" t="s">
        <v>74</v>
      </c>
      <c r="BF779" t="s">
        <v>74</v>
      </c>
      <c r="BG779" t="s">
        <v>74</v>
      </c>
      <c r="BH779" t="s">
        <v>74</v>
      </c>
      <c r="BI779">
        <v>2</v>
      </c>
      <c r="BJ779" t="s">
        <v>8543</v>
      </c>
      <c r="BK779" t="s">
        <v>97</v>
      </c>
      <c r="BL779" t="s">
        <v>8544</v>
      </c>
      <c r="BM779" t="s">
        <v>11725</v>
      </c>
      <c r="BN779" t="s">
        <v>74</v>
      </c>
      <c r="BO779" t="s">
        <v>74</v>
      </c>
      <c r="BP779" t="s">
        <v>74</v>
      </c>
      <c r="BQ779" t="s">
        <v>74</v>
      </c>
      <c r="BR779" t="s">
        <v>100</v>
      </c>
      <c r="BS779" t="s">
        <v>11732</v>
      </c>
      <c r="BT779" t="str">
        <f>HYPERLINK("https%3A%2F%2Fwww.webofscience.com%2Fwos%2Fwoscc%2Ffull-record%2FWOS:000236246000422","View Full Record in Web of Science")</f>
        <v>View Full Record in Web of Science</v>
      </c>
    </row>
    <row r="780" spans="1:72" x14ac:dyDescent="0.15">
      <c r="A780" t="s">
        <v>72</v>
      </c>
      <c r="B780" t="s">
        <v>11733</v>
      </c>
      <c r="C780" t="s">
        <v>74</v>
      </c>
      <c r="D780" t="s">
        <v>74</v>
      </c>
      <c r="E780" t="s">
        <v>74</v>
      </c>
      <c r="F780" t="s">
        <v>11733</v>
      </c>
      <c r="G780" t="s">
        <v>74</v>
      </c>
      <c r="H780" t="s">
        <v>74</v>
      </c>
      <c r="I780" t="s">
        <v>11734</v>
      </c>
      <c r="J780" t="s">
        <v>11735</v>
      </c>
      <c r="K780" t="s">
        <v>74</v>
      </c>
      <c r="L780" t="s">
        <v>74</v>
      </c>
      <c r="M780" t="s">
        <v>78</v>
      </c>
      <c r="N780" t="s">
        <v>79</v>
      </c>
      <c r="O780" t="s">
        <v>74</v>
      </c>
      <c r="P780" t="s">
        <v>74</v>
      </c>
      <c r="Q780" t="s">
        <v>74</v>
      </c>
      <c r="R780" t="s">
        <v>74</v>
      </c>
      <c r="S780" t="s">
        <v>74</v>
      </c>
      <c r="T780" t="s">
        <v>11736</v>
      </c>
      <c r="U780" t="s">
        <v>11737</v>
      </c>
      <c r="V780" t="s">
        <v>11738</v>
      </c>
      <c r="W780" t="s">
        <v>11739</v>
      </c>
      <c r="X780" t="s">
        <v>11740</v>
      </c>
      <c r="Y780" t="s">
        <v>11741</v>
      </c>
      <c r="Z780" t="s">
        <v>11742</v>
      </c>
      <c r="AA780" t="s">
        <v>11743</v>
      </c>
      <c r="AB780" t="s">
        <v>74</v>
      </c>
      <c r="AC780" t="s">
        <v>74</v>
      </c>
      <c r="AD780" t="s">
        <v>74</v>
      </c>
      <c r="AE780" t="s">
        <v>74</v>
      </c>
      <c r="AF780" t="s">
        <v>74</v>
      </c>
      <c r="AG780">
        <v>47</v>
      </c>
      <c r="AH780">
        <v>112</v>
      </c>
      <c r="AI780">
        <v>131</v>
      </c>
      <c r="AJ780">
        <v>2</v>
      </c>
      <c r="AK780">
        <v>97</v>
      </c>
      <c r="AL780" t="s">
        <v>994</v>
      </c>
      <c r="AM780" t="s">
        <v>476</v>
      </c>
      <c r="AN780" t="s">
        <v>1551</v>
      </c>
      <c r="AO780" t="s">
        <v>11744</v>
      </c>
      <c r="AP780" t="s">
        <v>11745</v>
      </c>
      <c r="AQ780" t="s">
        <v>74</v>
      </c>
      <c r="AR780" t="s">
        <v>11735</v>
      </c>
      <c r="AS780" t="s">
        <v>11746</v>
      </c>
      <c r="AT780" t="s">
        <v>11510</v>
      </c>
      <c r="AU780">
        <v>2006</v>
      </c>
      <c r="AV780">
        <v>17</v>
      </c>
      <c r="AW780">
        <v>1</v>
      </c>
      <c r="AX780" t="s">
        <v>74</v>
      </c>
      <c r="AY780" t="s">
        <v>74</v>
      </c>
      <c r="AZ780" t="s">
        <v>74</v>
      </c>
      <c r="BA780" t="s">
        <v>74</v>
      </c>
      <c r="BB780">
        <v>71</v>
      </c>
      <c r="BC780">
        <v>82</v>
      </c>
      <c r="BD780" t="s">
        <v>74</v>
      </c>
      <c r="BE780" t="s">
        <v>11747</v>
      </c>
      <c r="BF780" t="str">
        <f>HYPERLINK("http://dx.doi.org/10.1007/s10532-005-3342-8","http://dx.doi.org/10.1007/s10532-005-3342-8")</f>
        <v>http://dx.doi.org/10.1007/s10532-005-3342-8</v>
      </c>
      <c r="BG780" t="s">
        <v>74</v>
      </c>
      <c r="BH780" t="s">
        <v>74</v>
      </c>
      <c r="BI780">
        <v>12</v>
      </c>
      <c r="BJ780" t="s">
        <v>8994</v>
      </c>
      <c r="BK780" t="s">
        <v>97</v>
      </c>
      <c r="BL780" t="s">
        <v>8994</v>
      </c>
      <c r="BM780" t="s">
        <v>11748</v>
      </c>
      <c r="BN780">
        <v>16453173</v>
      </c>
      <c r="BO780" t="s">
        <v>74</v>
      </c>
      <c r="BP780" t="s">
        <v>74</v>
      </c>
      <c r="BQ780" t="s">
        <v>74</v>
      </c>
      <c r="BR780" t="s">
        <v>100</v>
      </c>
      <c r="BS780" t="s">
        <v>11749</v>
      </c>
      <c r="BT780" t="str">
        <f>HYPERLINK("https%3A%2F%2Fwww.webofscience.com%2Fwos%2Fwoscc%2Ffull-record%2FWOS:000235119000008","View Full Record in Web of Science")</f>
        <v>View Full Record in Web of Science</v>
      </c>
    </row>
    <row r="781" spans="1:72" x14ac:dyDescent="0.15">
      <c r="A781" t="s">
        <v>72</v>
      </c>
      <c r="B781" t="s">
        <v>11750</v>
      </c>
      <c r="C781" t="s">
        <v>74</v>
      </c>
      <c r="D781" t="s">
        <v>74</v>
      </c>
      <c r="E781" t="s">
        <v>74</v>
      </c>
      <c r="F781" t="s">
        <v>11750</v>
      </c>
      <c r="G781" t="s">
        <v>74</v>
      </c>
      <c r="H781" t="s">
        <v>74</v>
      </c>
      <c r="I781" t="s">
        <v>11751</v>
      </c>
      <c r="J781" t="s">
        <v>11752</v>
      </c>
      <c r="K781" t="s">
        <v>74</v>
      </c>
      <c r="L781" t="s">
        <v>74</v>
      </c>
      <c r="M781" t="s">
        <v>78</v>
      </c>
      <c r="N781" t="s">
        <v>511</v>
      </c>
      <c r="O781" t="s">
        <v>74</v>
      </c>
      <c r="P781" t="s">
        <v>74</v>
      </c>
      <c r="Q781" t="s">
        <v>74</v>
      </c>
      <c r="R781" t="s">
        <v>74</v>
      </c>
      <c r="S781" t="s">
        <v>74</v>
      </c>
      <c r="T781" t="s">
        <v>11753</v>
      </c>
      <c r="U781" t="s">
        <v>11754</v>
      </c>
      <c r="V781" t="s">
        <v>11755</v>
      </c>
      <c r="W781" t="s">
        <v>2646</v>
      </c>
      <c r="X781" t="s">
        <v>407</v>
      </c>
      <c r="Y781" t="s">
        <v>7528</v>
      </c>
      <c r="Z781" t="s">
        <v>11756</v>
      </c>
      <c r="AA781" t="s">
        <v>410</v>
      </c>
      <c r="AB781" t="s">
        <v>1171</v>
      </c>
      <c r="AC781" t="s">
        <v>11757</v>
      </c>
      <c r="AD781" t="s">
        <v>1328</v>
      </c>
      <c r="AE781" t="s">
        <v>74</v>
      </c>
      <c r="AF781" t="s">
        <v>74</v>
      </c>
      <c r="AG781">
        <v>335</v>
      </c>
      <c r="AH781">
        <v>221</v>
      </c>
      <c r="AI781">
        <v>241</v>
      </c>
      <c r="AJ781">
        <v>3</v>
      </c>
      <c r="AK781">
        <v>101</v>
      </c>
      <c r="AL781" t="s">
        <v>115</v>
      </c>
      <c r="AM781" t="s">
        <v>116</v>
      </c>
      <c r="AN781" t="s">
        <v>117</v>
      </c>
      <c r="AO781" t="s">
        <v>11758</v>
      </c>
      <c r="AP781" t="s">
        <v>11759</v>
      </c>
      <c r="AQ781" t="s">
        <v>74</v>
      </c>
      <c r="AR781" t="s">
        <v>11760</v>
      </c>
      <c r="AS781" t="s">
        <v>11761</v>
      </c>
      <c r="AT781" t="s">
        <v>11510</v>
      </c>
      <c r="AU781">
        <v>2006</v>
      </c>
      <c r="AV781">
        <v>81</v>
      </c>
      <c r="AW781">
        <v>1</v>
      </c>
      <c r="AX781" t="s">
        <v>74</v>
      </c>
      <c r="AY781" t="s">
        <v>74</v>
      </c>
      <c r="AZ781" t="s">
        <v>74</v>
      </c>
      <c r="BA781" t="s">
        <v>74</v>
      </c>
      <c r="BB781">
        <v>75</v>
      </c>
      <c r="BC781">
        <v>109</v>
      </c>
      <c r="BD781" t="s">
        <v>74</v>
      </c>
      <c r="BE781" t="s">
        <v>11762</v>
      </c>
      <c r="BF781" t="str">
        <f>HYPERLINK("http://dx.doi.org/10.1017/S1464793105006871","http://dx.doi.org/10.1017/S1464793105006871")</f>
        <v>http://dx.doi.org/10.1017/S1464793105006871</v>
      </c>
      <c r="BG781" t="s">
        <v>74</v>
      </c>
      <c r="BH781" t="s">
        <v>74</v>
      </c>
      <c r="BI781">
        <v>35</v>
      </c>
      <c r="BJ781" t="s">
        <v>5369</v>
      </c>
      <c r="BK781" t="s">
        <v>97</v>
      </c>
      <c r="BL781" t="s">
        <v>5370</v>
      </c>
      <c r="BM781" t="s">
        <v>11763</v>
      </c>
      <c r="BN781">
        <v>16293196</v>
      </c>
      <c r="BO781" t="s">
        <v>74</v>
      </c>
      <c r="BP781" t="s">
        <v>74</v>
      </c>
      <c r="BQ781" t="s">
        <v>74</v>
      </c>
      <c r="BR781" t="s">
        <v>100</v>
      </c>
      <c r="BS781" t="s">
        <v>11764</v>
      </c>
      <c r="BT781" t="str">
        <f>HYPERLINK("https%3A%2F%2Fwww.webofscience.com%2Fwos%2Fwoscc%2Ffull-record%2FWOS:000236101600003","View Full Record in Web of Science")</f>
        <v>View Full Record in Web of Science</v>
      </c>
    </row>
    <row r="782" spans="1:72" x14ac:dyDescent="0.15">
      <c r="A782" t="s">
        <v>72</v>
      </c>
      <c r="B782" t="s">
        <v>11765</v>
      </c>
      <c r="C782" t="s">
        <v>74</v>
      </c>
      <c r="D782" t="s">
        <v>74</v>
      </c>
      <c r="E782" t="s">
        <v>74</v>
      </c>
      <c r="F782" t="s">
        <v>11765</v>
      </c>
      <c r="G782" t="s">
        <v>74</v>
      </c>
      <c r="H782" t="s">
        <v>74</v>
      </c>
      <c r="I782" t="s">
        <v>11766</v>
      </c>
      <c r="J782" t="s">
        <v>11767</v>
      </c>
      <c r="K782" t="s">
        <v>74</v>
      </c>
      <c r="L782" t="s">
        <v>74</v>
      </c>
      <c r="M782" t="s">
        <v>78</v>
      </c>
      <c r="N782" t="s">
        <v>79</v>
      </c>
      <c r="O782" t="s">
        <v>74</v>
      </c>
      <c r="P782" t="s">
        <v>74</v>
      </c>
      <c r="Q782" t="s">
        <v>74</v>
      </c>
      <c r="R782" t="s">
        <v>74</v>
      </c>
      <c r="S782" t="s">
        <v>74</v>
      </c>
      <c r="T782" t="s">
        <v>74</v>
      </c>
      <c r="U782" t="s">
        <v>11768</v>
      </c>
      <c r="V782" t="s">
        <v>11769</v>
      </c>
      <c r="W782" t="s">
        <v>11770</v>
      </c>
      <c r="X782" t="s">
        <v>11771</v>
      </c>
      <c r="Y782" t="s">
        <v>11772</v>
      </c>
      <c r="Z782" t="s">
        <v>11773</v>
      </c>
      <c r="AA782" t="s">
        <v>74</v>
      </c>
      <c r="AB782" t="s">
        <v>11774</v>
      </c>
      <c r="AC782" t="s">
        <v>11775</v>
      </c>
      <c r="AD782" t="s">
        <v>11776</v>
      </c>
      <c r="AE782" t="s">
        <v>74</v>
      </c>
      <c r="AF782" t="s">
        <v>74</v>
      </c>
      <c r="AG782">
        <v>38</v>
      </c>
      <c r="AH782">
        <v>32</v>
      </c>
      <c r="AI782">
        <v>43</v>
      </c>
      <c r="AJ782">
        <v>0</v>
      </c>
      <c r="AK782">
        <v>31</v>
      </c>
      <c r="AL782" t="s">
        <v>6146</v>
      </c>
      <c r="AM782" t="s">
        <v>88</v>
      </c>
      <c r="AN782" t="s">
        <v>6147</v>
      </c>
      <c r="AO782" t="s">
        <v>11777</v>
      </c>
      <c r="AP782" t="s">
        <v>11778</v>
      </c>
      <c r="AQ782" t="s">
        <v>74</v>
      </c>
      <c r="AR782" t="s">
        <v>11767</v>
      </c>
      <c r="AS782" t="s">
        <v>11779</v>
      </c>
      <c r="AT782" t="s">
        <v>11510</v>
      </c>
      <c r="AU782">
        <v>2006</v>
      </c>
      <c r="AV782">
        <v>7</v>
      </c>
      <c r="AW782">
        <v>2</v>
      </c>
      <c r="AX782" t="s">
        <v>74</v>
      </c>
      <c r="AY782" t="s">
        <v>74</v>
      </c>
      <c r="AZ782" t="s">
        <v>74</v>
      </c>
      <c r="BA782" t="s">
        <v>74</v>
      </c>
      <c r="BB782">
        <v>565</v>
      </c>
      <c r="BC782">
        <v>571</v>
      </c>
      <c r="BD782" t="s">
        <v>74</v>
      </c>
      <c r="BE782" t="s">
        <v>11780</v>
      </c>
      <c r="BF782" t="str">
        <f>HYPERLINK("http://dx.doi.org/10.1021/bm050605t","http://dx.doi.org/10.1021/bm050605t")</f>
        <v>http://dx.doi.org/10.1021/bm050605t</v>
      </c>
      <c r="BG782" t="s">
        <v>74</v>
      </c>
      <c r="BH782" t="s">
        <v>74</v>
      </c>
      <c r="BI782">
        <v>7</v>
      </c>
      <c r="BJ782" t="s">
        <v>11781</v>
      </c>
      <c r="BK782" t="s">
        <v>97</v>
      </c>
      <c r="BL782" t="s">
        <v>11782</v>
      </c>
      <c r="BM782" t="s">
        <v>11783</v>
      </c>
      <c r="BN782">
        <v>16471931</v>
      </c>
      <c r="BO782" t="s">
        <v>74</v>
      </c>
      <c r="BP782" t="s">
        <v>74</v>
      </c>
      <c r="BQ782" t="s">
        <v>74</v>
      </c>
      <c r="BR782" t="s">
        <v>100</v>
      </c>
      <c r="BS782" t="s">
        <v>11784</v>
      </c>
      <c r="BT782" t="str">
        <f>HYPERLINK("https%3A%2F%2Fwww.webofscience.com%2Fwos%2Fwoscc%2Ffull-record%2FWOS:000235538600024","View Full Record in Web of Science")</f>
        <v>View Full Record in Web of Science</v>
      </c>
    </row>
    <row r="783" spans="1:72" x14ac:dyDescent="0.15">
      <c r="A783" t="s">
        <v>72</v>
      </c>
      <c r="B783" t="s">
        <v>9735</v>
      </c>
      <c r="C783" t="s">
        <v>74</v>
      </c>
      <c r="D783" t="s">
        <v>74</v>
      </c>
      <c r="E783" t="s">
        <v>74</v>
      </c>
      <c r="F783" t="s">
        <v>9735</v>
      </c>
      <c r="G783" t="s">
        <v>74</v>
      </c>
      <c r="H783" t="s">
        <v>74</v>
      </c>
      <c r="I783" t="s">
        <v>11785</v>
      </c>
      <c r="J783" t="s">
        <v>11786</v>
      </c>
      <c r="K783" t="s">
        <v>74</v>
      </c>
      <c r="L783" t="s">
        <v>74</v>
      </c>
      <c r="M783" t="s">
        <v>78</v>
      </c>
      <c r="N783" t="s">
        <v>79</v>
      </c>
      <c r="O783" t="s">
        <v>74</v>
      </c>
      <c r="P783" t="s">
        <v>74</v>
      </c>
      <c r="Q783" t="s">
        <v>74</v>
      </c>
      <c r="R783" t="s">
        <v>74</v>
      </c>
      <c r="S783" t="s">
        <v>74</v>
      </c>
      <c r="T783" t="s">
        <v>11787</v>
      </c>
      <c r="U783" t="s">
        <v>11788</v>
      </c>
      <c r="V783" t="s">
        <v>11789</v>
      </c>
      <c r="W783" t="s">
        <v>11790</v>
      </c>
      <c r="X783" t="s">
        <v>4893</v>
      </c>
      <c r="Y783" t="s">
        <v>11791</v>
      </c>
      <c r="Z783" t="s">
        <v>11792</v>
      </c>
      <c r="AA783" t="s">
        <v>74</v>
      </c>
      <c r="AB783" t="s">
        <v>74</v>
      </c>
      <c r="AC783" t="s">
        <v>74</v>
      </c>
      <c r="AD783" t="s">
        <v>74</v>
      </c>
      <c r="AE783" t="s">
        <v>74</v>
      </c>
      <c r="AF783" t="s">
        <v>74</v>
      </c>
      <c r="AG783">
        <v>69</v>
      </c>
      <c r="AH783">
        <v>223</v>
      </c>
      <c r="AI783">
        <v>271</v>
      </c>
      <c r="AJ783">
        <v>4</v>
      </c>
      <c r="AK783">
        <v>91</v>
      </c>
      <c r="AL783" t="s">
        <v>580</v>
      </c>
      <c r="AM783" t="s">
        <v>388</v>
      </c>
      <c r="AN783" t="s">
        <v>581</v>
      </c>
      <c r="AO783" t="s">
        <v>11793</v>
      </c>
      <c r="AP783" t="s">
        <v>11794</v>
      </c>
      <c r="AQ783" t="s">
        <v>74</v>
      </c>
      <c r="AR783" t="s">
        <v>11786</v>
      </c>
      <c r="AS783" t="s">
        <v>11795</v>
      </c>
      <c r="AT783" t="s">
        <v>11510</v>
      </c>
      <c r="AU783">
        <v>2006</v>
      </c>
      <c r="AV783">
        <v>56</v>
      </c>
      <c r="AW783">
        <v>2</v>
      </c>
      <c r="AX783" t="s">
        <v>74</v>
      </c>
      <c r="AY783" t="s">
        <v>74</v>
      </c>
      <c r="AZ783" t="s">
        <v>74</v>
      </c>
      <c r="BA783" t="s">
        <v>74</v>
      </c>
      <c r="BB783">
        <v>111</v>
      </c>
      <c r="BC783">
        <v>120</v>
      </c>
      <c r="BD783" t="s">
        <v>74</v>
      </c>
      <c r="BE783" t="s">
        <v>11796</v>
      </c>
      <c r="BF783" t="str">
        <f>HYPERLINK("http://dx.doi.org/10.1641/0006-3568(2006)056[0111:KCASIE]2.0.CO;2","http://dx.doi.org/10.1641/0006-3568(2006)056[0111:KCASIE]2.0.CO;2")</f>
        <v>http://dx.doi.org/10.1641/0006-3568(2006)056[0111:KCASIE]2.0.CO;2</v>
      </c>
      <c r="BG783" t="s">
        <v>74</v>
      </c>
      <c r="BH783" t="s">
        <v>74</v>
      </c>
      <c r="BI783">
        <v>10</v>
      </c>
      <c r="BJ783" t="s">
        <v>5369</v>
      </c>
      <c r="BK783" t="s">
        <v>97</v>
      </c>
      <c r="BL783" t="s">
        <v>5370</v>
      </c>
      <c r="BM783" t="s">
        <v>11797</v>
      </c>
      <c r="BN783" t="s">
        <v>74</v>
      </c>
      <c r="BO783" t="s">
        <v>1808</v>
      </c>
      <c r="BP783" t="s">
        <v>74</v>
      </c>
      <c r="BQ783" t="s">
        <v>74</v>
      </c>
      <c r="BR783" t="s">
        <v>100</v>
      </c>
      <c r="BS783" t="s">
        <v>11798</v>
      </c>
      <c r="BT783" t="str">
        <f>HYPERLINK("https%3A%2F%2Fwww.webofscience.com%2Fwos%2Fwoscc%2Ffull-record%2FWOS:000235422800012","View Full Record in Web of Science")</f>
        <v>View Full Record in Web of Science</v>
      </c>
    </row>
    <row r="784" spans="1:72" x14ac:dyDescent="0.15">
      <c r="A784" t="s">
        <v>72</v>
      </c>
      <c r="B784" t="s">
        <v>11799</v>
      </c>
      <c r="C784" t="s">
        <v>74</v>
      </c>
      <c r="D784" t="s">
        <v>74</v>
      </c>
      <c r="E784" t="s">
        <v>74</v>
      </c>
      <c r="F784" t="s">
        <v>11799</v>
      </c>
      <c r="G784" t="s">
        <v>74</v>
      </c>
      <c r="H784" t="s">
        <v>74</v>
      </c>
      <c r="I784" t="s">
        <v>11800</v>
      </c>
      <c r="J784" t="s">
        <v>11801</v>
      </c>
      <c r="K784" t="s">
        <v>74</v>
      </c>
      <c r="L784" t="s">
        <v>74</v>
      </c>
      <c r="M784" t="s">
        <v>78</v>
      </c>
      <c r="N784" t="s">
        <v>79</v>
      </c>
      <c r="O784" t="s">
        <v>74</v>
      </c>
      <c r="P784" t="s">
        <v>74</v>
      </c>
      <c r="Q784" t="s">
        <v>74</v>
      </c>
      <c r="R784" t="s">
        <v>74</v>
      </c>
      <c r="S784" t="s">
        <v>74</v>
      </c>
      <c r="T784" t="s">
        <v>74</v>
      </c>
      <c r="U784" t="s">
        <v>11802</v>
      </c>
      <c r="V784" t="s">
        <v>11803</v>
      </c>
      <c r="W784" t="s">
        <v>11804</v>
      </c>
      <c r="X784" t="s">
        <v>11805</v>
      </c>
      <c r="Y784" t="s">
        <v>7928</v>
      </c>
      <c r="Z784" t="s">
        <v>11806</v>
      </c>
      <c r="AA784" t="s">
        <v>11807</v>
      </c>
      <c r="AB784" t="s">
        <v>11808</v>
      </c>
      <c r="AC784" t="s">
        <v>74</v>
      </c>
      <c r="AD784" t="s">
        <v>74</v>
      </c>
      <c r="AE784" t="s">
        <v>74</v>
      </c>
      <c r="AF784" t="s">
        <v>74</v>
      </c>
      <c r="AG784">
        <v>39</v>
      </c>
      <c r="AH784">
        <v>76</v>
      </c>
      <c r="AI784">
        <v>82</v>
      </c>
      <c r="AJ784">
        <v>1</v>
      </c>
      <c r="AK784">
        <v>41</v>
      </c>
      <c r="AL784" t="s">
        <v>115</v>
      </c>
      <c r="AM784" t="s">
        <v>116</v>
      </c>
      <c r="AN784" t="s">
        <v>117</v>
      </c>
      <c r="AO784" t="s">
        <v>11809</v>
      </c>
      <c r="AP784" t="s">
        <v>11810</v>
      </c>
      <c r="AQ784" t="s">
        <v>74</v>
      </c>
      <c r="AR784" t="s">
        <v>11801</v>
      </c>
      <c r="AS784" t="s">
        <v>11811</v>
      </c>
      <c r="AT784" t="s">
        <v>11510</v>
      </c>
      <c r="AU784">
        <v>2006</v>
      </c>
      <c r="AV784">
        <v>22</v>
      </c>
      <c r="AW784">
        <v>1</v>
      </c>
      <c r="AX784" t="s">
        <v>74</v>
      </c>
      <c r="AY784" t="s">
        <v>74</v>
      </c>
      <c r="AZ784" t="s">
        <v>74</v>
      </c>
      <c r="BA784" t="s">
        <v>74</v>
      </c>
      <c r="BB784">
        <v>89</v>
      </c>
      <c r="BC784">
        <v>96</v>
      </c>
      <c r="BD784" t="s">
        <v>74</v>
      </c>
      <c r="BE784" t="s">
        <v>11812</v>
      </c>
      <c r="BF784" t="str">
        <f>HYPERLINK("http://dx.doi.org/10.1111/j.1096-0031.2006.00086.x","http://dx.doi.org/10.1111/j.1096-0031.2006.00086.x")</f>
        <v>http://dx.doi.org/10.1111/j.1096-0031.2006.00086.x</v>
      </c>
      <c r="BG784" t="s">
        <v>74</v>
      </c>
      <c r="BH784" t="s">
        <v>74</v>
      </c>
      <c r="BI784">
        <v>8</v>
      </c>
      <c r="BJ784" t="s">
        <v>1199</v>
      </c>
      <c r="BK784" t="s">
        <v>97</v>
      </c>
      <c r="BL784" t="s">
        <v>1199</v>
      </c>
      <c r="BM784" t="s">
        <v>11813</v>
      </c>
      <c r="BN784">
        <v>34892892</v>
      </c>
      <c r="BO784" t="s">
        <v>74</v>
      </c>
      <c r="BP784" t="s">
        <v>74</v>
      </c>
      <c r="BQ784" t="s">
        <v>74</v>
      </c>
      <c r="BR784" t="s">
        <v>100</v>
      </c>
      <c r="BS784" t="s">
        <v>11814</v>
      </c>
      <c r="BT784" t="str">
        <f>HYPERLINK("https%3A%2F%2Fwww.webofscience.com%2Fwos%2Fwoscc%2Ffull-record%2FWOS:000235015800004","View Full Record in Web of Science")</f>
        <v>View Full Record in Web of Science</v>
      </c>
    </row>
    <row r="785" spans="1:72" x14ac:dyDescent="0.15">
      <c r="A785" t="s">
        <v>72</v>
      </c>
      <c r="B785" t="s">
        <v>11815</v>
      </c>
      <c r="C785" t="s">
        <v>74</v>
      </c>
      <c r="D785" t="s">
        <v>74</v>
      </c>
      <c r="E785" t="s">
        <v>74</v>
      </c>
      <c r="F785" t="s">
        <v>11815</v>
      </c>
      <c r="G785" t="s">
        <v>74</v>
      </c>
      <c r="H785" t="s">
        <v>74</v>
      </c>
      <c r="I785" t="s">
        <v>11816</v>
      </c>
      <c r="J785" t="s">
        <v>2663</v>
      </c>
      <c r="K785" t="s">
        <v>74</v>
      </c>
      <c r="L785" t="s">
        <v>74</v>
      </c>
      <c r="M785" t="s">
        <v>78</v>
      </c>
      <c r="N785" t="s">
        <v>79</v>
      </c>
      <c r="O785" t="s">
        <v>74</v>
      </c>
      <c r="P785" t="s">
        <v>74</v>
      </c>
      <c r="Q785" t="s">
        <v>74</v>
      </c>
      <c r="R785" t="s">
        <v>74</v>
      </c>
      <c r="S785" t="s">
        <v>74</v>
      </c>
      <c r="T785" t="s">
        <v>74</v>
      </c>
      <c r="U785" t="s">
        <v>11817</v>
      </c>
      <c r="V785" t="s">
        <v>11818</v>
      </c>
      <c r="W785" t="s">
        <v>11819</v>
      </c>
      <c r="X785" t="s">
        <v>11820</v>
      </c>
      <c r="Y785" t="s">
        <v>11821</v>
      </c>
      <c r="Z785" t="s">
        <v>11822</v>
      </c>
      <c r="AA785" t="s">
        <v>74</v>
      </c>
      <c r="AB785" t="s">
        <v>74</v>
      </c>
      <c r="AC785" t="s">
        <v>74</v>
      </c>
      <c r="AD785" t="s">
        <v>74</v>
      </c>
      <c r="AE785" t="s">
        <v>74</v>
      </c>
      <c r="AF785" t="s">
        <v>74</v>
      </c>
      <c r="AG785">
        <v>30</v>
      </c>
      <c r="AH785">
        <v>148</v>
      </c>
      <c r="AI785">
        <v>156</v>
      </c>
      <c r="AJ785">
        <v>1</v>
      </c>
      <c r="AK785">
        <v>9</v>
      </c>
      <c r="AL785" t="s">
        <v>994</v>
      </c>
      <c r="AM785" t="s">
        <v>476</v>
      </c>
      <c r="AN785" t="s">
        <v>1551</v>
      </c>
      <c r="AO785" t="s">
        <v>2671</v>
      </c>
      <c r="AP785" t="s">
        <v>2672</v>
      </c>
      <c r="AQ785" t="s">
        <v>74</v>
      </c>
      <c r="AR785" t="s">
        <v>2673</v>
      </c>
      <c r="AS785" t="s">
        <v>2674</v>
      </c>
      <c r="AT785" t="s">
        <v>11510</v>
      </c>
      <c r="AU785">
        <v>2006</v>
      </c>
      <c r="AV785">
        <v>26</v>
      </c>
      <c r="AW785" t="s">
        <v>11823</v>
      </c>
      <c r="AX785" t="s">
        <v>74</v>
      </c>
      <c r="AY785" t="s">
        <v>74</v>
      </c>
      <c r="AZ785" t="s">
        <v>74</v>
      </c>
      <c r="BA785" t="s">
        <v>74</v>
      </c>
      <c r="BB785">
        <v>109</v>
      </c>
      <c r="BC785">
        <v>126</v>
      </c>
      <c r="BD785" t="s">
        <v>74</v>
      </c>
      <c r="BE785" t="s">
        <v>11824</v>
      </c>
      <c r="BF785" t="str">
        <f>HYPERLINK("http://dx.doi.org/10.1007/s00382-005-0080-x","http://dx.doi.org/10.1007/s00382-005-0080-x")</f>
        <v>http://dx.doi.org/10.1007/s00382-005-0080-x</v>
      </c>
      <c r="BG785" t="s">
        <v>74</v>
      </c>
      <c r="BH785" t="s">
        <v>74</v>
      </c>
      <c r="BI785">
        <v>18</v>
      </c>
      <c r="BJ785" t="s">
        <v>869</v>
      </c>
      <c r="BK785" t="s">
        <v>97</v>
      </c>
      <c r="BL785" t="s">
        <v>869</v>
      </c>
      <c r="BM785" t="s">
        <v>11825</v>
      </c>
      <c r="BN785" t="s">
        <v>74</v>
      </c>
      <c r="BO785" t="s">
        <v>74</v>
      </c>
      <c r="BP785" t="s">
        <v>74</v>
      </c>
      <c r="BQ785" t="s">
        <v>74</v>
      </c>
      <c r="BR785" t="s">
        <v>100</v>
      </c>
      <c r="BS785" t="s">
        <v>11826</v>
      </c>
      <c r="BT785" t="str">
        <f>HYPERLINK("https%3A%2F%2Fwww.webofscience.com%2Fwos%2Fwoscc%2Ffull-record%2FWOS:000235130400001","View Full Record in Web of Science")</f>
        <v>View Full Record in Web of Science</v>
      </c>
    </row>
    <row r="786" spans="1:72" x14ac:dyDescent="0.15">
      <c r="A786" t="s">
        <v>72</v>
      </c>
      <c r="B786" t="s">
        <v>11827</v>
      </c>
      <c r="C786" t="s">
        <v>74</v>
      </c>
      <c r="D786" t="s">
        <v>74</v>
      </c>
      <c r="E786" t="s">
        <v>74</v>
      </c>
      <c r="F786" t="s">
        <v>11827</v>
      </c>
      <c r="G786" t="s">
        <v>74</v>
      </c>
      <c r="H786" t="s">
        <v>74</v>
      </c>
      <c r="I786" t="s">
        <v>11828</v>
      </c>
      <c r="J786" t="s">
        <v>2663</v>
      </c>
      <c r="K786" t="s">
        <v>74</v>
      </c>
      <c r="L786" t="s">
        <v>74</v>
      </c>
      <c r="M786" t="s">
        <v>78</v>
      </c>
      <c r="N786" t="s">
        <v>79</v>
      </c>
      <c r="O786" t="s">
        <v>74</v>
      </c>
      <c r="P786" t="s">
        <v>74</v>
      </c>
      <c r="Q786" t="s">
        <v>74</v>
      </c>
      <c r="R786" t="s">
        <v>74</v>
      </c>
      <c r="S786" t="s">
        <v>74</v>
      </c>
      <c r="T786" t="s">
        <v>74</v>
      </c>
      <c r="U786" t="s">
        <v>11829</v>
      </c>
      <c r="V786" t="s">
        <v>11830</v>
      </c>
      <c r="W786" t="s">
        <v>11831</v>
      </c>
      <c r="X786" t="s">
        <v>11832</v>
      </c>
      <c r="Y786" t="s">
        <v>11833</v>
      </c>
      <c r="Z786" t="s">
        <v>11834</v>
      </c>
      <c r="AA786" t="s">
        <v>74</v>
      </c>
      <c r="AB786" t="s">
        <v>11835</v>
      </c>
      <c r="AC786" t="s">
        <v>74</v>
      </c>
      <c r="AD786" t="s">
        <v>74</v>
      </c>
      <c r="AE786" t="s">
        <v>74</v>
      </c>
      <c r="AF786" t="s">
        <v>74</v>
      </c>
      <c r="AG786">
        <v>29</v>
      </c>
      <c r="AH786">
        <v>48</v>
      </c>
      <c r="AI786">
        <v>50</v>
      </c>
      <c r="AJ786">
        <v>0</v>
      </c>
      <c r="AK786">
        <v>9</v>
      </c>
      <c r="AL786" t="s">
        <v>994</v>
      </c>
      <c r="AM786" t="s">
        <v>476</v>
      </c>
      <c r="AN786" t="s">
        <v>1551</v>
      </c>
      <c r="AO786" t="s">
        <v>2671</v>
      </c>
      <c r="AP786" t="s">
        <v>2672</v>
      </c>
      <c r="AQ786" t="s">
        <v>74</v>
      </c>
      <c r="AR786" t="s">
        <v>2673</v>
      </c>
      <c r="AS786" t="s">
        <v>2674</v>
      </c>
      <c r="AT786" t="s">
        <v>11510</v>
      </c>
      <c r="AU786">
        <v>2006</v>
      </c>
      <c r="AV786">
        <v>26</v>
      </c>
      <c r="AW786" t="s">
        <v>11823</v>
      </c>
      <c r="AX786" t="s">
        <v>74</v>
      </c>
      <c r="AY786" t="s">
        <v>74</v>
      </c>
      <c r="AZ786" t="s">
        <v>74</v>
      </c>
      <c r="BA786" t="s">
        <v>74</v>
      </c>
      <c r="BB786">
        <v>217</v>
      </c>
      <c r="BC786">
        <v>228</v>
      </c>
      <c r="BD786" t="s">
        <v>74</v>
      </c>
      <c r="BE786" t="s">
        <v>11836</v>
      </c>
      <c r="BF786" t="str">
        <f>HYPERLINK("http://dx.doi.org/10.1007/s00382-005-0082-8","http://dx.doi.org/10.1007/s00382-005-0082-8")</f>
        <v>http://dx.doi.org/10.1007/s00382-005-0082-8</v>
      </c>
      <c r="BG786" t="s">
        <v>74</v>
      </c>
      <c r="BH786" t="s">
        <v>74</v>
      </c>
      <c r="BI786">
        <v>12</v>
      </c>
      <c r="BJ786" t="s">
        <v>869</v>
      </c>
      <c r="BK786" t="s">
        <v>97</v>
      </c>
      <c r="BL786" t="s">
        <v>869</v>
      </c>
      <c r="BM786" t="s">
        <v>11825</v>
      </c>
      <c r="BN786" t="s">
        <v>74</v>
      </c>
      <c r="BO786" t="s">
        <v>74</v>
      </c>
      <c r="BP786" t="s">
        <v>74</v>
      </c>
      <c r="BQ786" t="s">
        <v>74</v>
      </c>
      <c r="BR786" t="s">
        <v>100</v>
      </c>
      <c r="BS786" t="s">
        <v>11837</v>
      </c>
      <c r="BT786" t="str">
        <f>HYPERLINK("https%3A%2F%2Fwww.webofscience.com%2Fwos%2Fwoscc%2Ffull-record%2FWOS:000235130400007","View Full Record in Web of Science")</f>
        <v>View Full Record in Web of Science</v>
      </c>
    </row>
    <row r="787" spans="1:72" x14ac:dyDescent="0.15">
      <c r="A787" t="s">
        <v>72</v>
      </c>
      <c r="B787" t="s">
        <v>11838</v>
      </c>
      <c r="C787" t="s">
        <v>74</v>
      </c>
      <c r="D787" t="s">
        <v>74</v>
      </c>
      <c r="E787" t="s">
        <v>74</v>
      </c>
      <c r="F787" t="s">
        <v>11838</v>
      </c>
      <c r="G787" t="s">
        <v>74</v>
      </c>
      <c r="H787" t="s">
        <v>74</v>
      </c>
      <c r="I787" t="s">
        <v>11839</v>
      </c>
      <c r="J787" t="s">
        <v>2663</v>
      </c>
      <c r="K787" t="s">
        <v>74</v>
      </c>
      <c r="L787" t="s">
        <v>74</v>
      </c>
      <c r="M787" t="s">
        <v>78</v>
      </c>
      <c r="N787" t="s">
        <v>79</v>
      </c>
      <c r="O787" t="s">
        <v>74</v>
      </c>
      <c r="P787" t="s">
        <v>74</v>
      </c>
      <c r="Q787" t="s">
        <v>74</v>
      </c>
      <c r="R787" t="s">
        <v>74</v>
      </c>
      <c r="S787" t="s">
        <v>74</v>
      </c>
      <c r="T787" t="s">
        <v>74</v>
      </c>
      <c r="U787" t="s">
        <v>11840</v>
      </c>
      <c r="V787" t="s">
        <v>11841</v>
      </c>
      <c r="W787" t="s">
        <v>11842</v>
      </c>
      <c r="X787" t="s">
        <v>11843</v>
      </c>
      <c r="Y787" t="s">
        <v>7978</v>
      </c>
      <c r="Z787" t="s">
        <v>11844</v>
      </c>
      <c r="AA787" t="s">
        <v>74</v>
      </c>
      <c r="AB787" t="s">
        <v>11835</v>
      </c>
      <c r="AC787" t="s">
        <v>74</v>
      </c>
      <c r="AD787" t="s">
        <v>74</v>
      </c>
      <c r="AE787" t="s">
        <v>74</v>
      </c>
      <c r="AF787" t="s">
        <v>74</v>
      </c>
      <c r="AG787">
        <v>33</v>
      </c>
      <c r="AH787">
        <v>43</v>
      </c>
      <c r="AI787">
        <v>48</v>
      </c>
      <c r="AJ787">
        <v>0</v>
      </c>
      <c r="AK787">
        <v>6</v>
      </c>
      <c r="AL787" t="s">
        <v>994</v>
      </c>
      <c r="AM787" t="s">
        <v>476</v>
      </c>
      <c r="AN787" t="s">
        <v>1551</v>
      </c>
      <c r="AO787" t="s">
        <v>2671</v>
      </c>
      <c r="AP787" t="s">
        <v>2672</v>
      </c>
      <c r="AQ787" t="s">
        <v>74</v>
      </c>
      <c r="AR787" t="s">
        <v>2673</v>
      </c>
      <c r="AS787" t="s">
        <v>2674</v>
      </c>
      <c r="AT787" t="s">
        <v>11510</v>
      </c>
      <c r="AU787">
        <v>2006</v>
      </c>
      <c r="AV787">
        <v>26</v>
      </c>
      <c r="AW787" t="s">
        <v>11823</v>
      </c>
      <c r="AX787" t="s">
        <v>74</v>
      </c>
      <c r="AY787" t="s">
        <v>74</v>
      </c>
      <c r="AZ787" t="s">
        <v>74</v>
      </c>
      <c r="BA787" t="s">
        <v>74</v>
      </c>
      <c r="BB787">
        <v>229</v>
      </c>
      <c r="BC787">
        <v>245</v>
      </c>
      <c r="BD787" t="s">
        <v>74</v>
      </c>
      <c r="BE787" t="s">
        <v>11845</v>
      </c>
      <c r="BF787" t="str">
        <f>HYPERLINK("http://dx.doi.org/10.1007/s00382-005-0087-3","http://dx.doi.org/10.1007/s00382-005-0087-3")</f>
        <v>http://dx.doi.org/10.1007/s00382-005-0087-3</v>
      </c>
      <c r="BG787" t="s">
        <v>74</v>
      </c>
      <c r="BH787" t="s">
        <v>74</v>
      </c>
      <c r="BI787">
        <v>17</v>
      </c>
      <c r="BJ787" t="s">
        <v>869</v>
      </c>
      <c r="BK787" t="s">
        <v>97</v>
      </c>
      <c r="BL787" t="s">
        <v>869</v>
      </c>
      <c r="BM787" t="s">
        <v>11825</v>
      </c>
      <c r="BN787" t="s">
        <v>74</v>
      </c>
      <c r="BO787" t="s">
        <v>74</v>
      </c>
      <c r="BP787" t="s">
        <v>74</v>
      </c>
      <c r="BQ787" t="s">
        <v>74</v>
      </c>
      <c r="BR787" t="s">
        <v>100</v>
      </c>
      <c r="BS787" t="s">
        <v>11846</v>
      </c>
      <c r="BT787" t="str">
        <f>HYPERLINK("https%3A%2F%2Fwww.webofscience.com%2Fwos%2Fwoscc%2Ffull-record%2FWOS:000235130400008","View Full Record in Web of Science")</f>
        <v>View Full Record in Web of Science</v>
      </c>
    </row>
    <row r="788" spans="1:72" x14ac:dyDescent="0.15">
      <c r="A788" t="s">
        <v>72</v>
      </c>
      <c r="B788" t="s">
        <v>11847</v>
      </c>
      <c r="C788" t="s">
        <v>74</v>
      </c>
      <c r="D788" t="s">
        <v>74</v>
      </c>
      <c r="E788" t="s">
        <v>74</v>
      </c>
      <c r="F788" t="s">
        <v>11847</v>
      </c>
      <c r="G788" t="s">
        <v>74</v>
      </c>
      <c r="H788" t="s">
        <v>74</v>
      </c>
      <c r="I788" t="s">
        <v>11848</v>
      </c>
      <c r="J788" t="s">
        <v>2663</v>
      </c>
      <c r="K788" t="s">
        <v>74</v>
      </c>
      <c r="L788" t="s">
        <v>74</v>
      </c>
      <c r="M788" t="s">
        <v>78</v>
      </c>
      <c r="N788" t="s">
        <v>79</v>
      </c>
      <c r="O788" t="s">
        <v>74</v>
      </c>
      <c r="P788" t="s">
        <v>74</v>
      </c>
      <c r="Q788" t="s">
        <v>74</v>
      </c>
      <c r="R788" t="s">
        <v>74</v>
      </c>
      <c r="S788" t="s">
        <v>74</v>
      </c>
      <c r="T788" t="s">
        <v>74</v>
      </c>
      <c r="U788" t="s">
        <v>11849</v>
      </c>
      <c r="V788" t="s">
        <v>11850</v>
      </c>
      <c r="W788" t="s">
        <v>11851</v>
      </c>
      <c r="X788" t="s">
        <v>11852</v>
      </c>
      <c r="Y788" t="s">
        <v>11853</v>
      </c>
      <c r="Z788" t="s">
        <v>11854</v>
      </c>
      <c r="AA788" t="s">
        <v>11855</v>
      </c>
      <c r="AB788" t="s">
        <v>11856</v>
      </c>
      <c r="AC788" t="s">
        <v>74</v>
      </c>
      <c r="AD788" t="s">
        <v>74</v>
      </c>
      <c r="AE788" t="s">
        <v>74</v>
      </c>
      <c r="AF788" t="s">
        <v>74</v>
      </c>
      <c r="AG788">
        <v>69</v>
      </c>
      <c r="AH788">
        <v>52</v>
      </c>
      <c r="AI788">
        <v>55</v>
      </c>
      <c r="AJ788">
        <v>0</v>
      </c>
      <c r="AK788">
        <v>28</v>
      </c>
      <c r="AL788" t="s">
        <v>994</v>
      </c>
      <c r="AM788" t="s">
        <v>476</v>
      </c>
      <c r="AN788" t="s">
        <v>1551</v>
      </c>
      <c r="AO788" t="s">
        <v>2671</v>
      </c>
      <c r="AP788" t="s">
        <v>2672</v>
      </c>
      <c r="AQ788" t="s">
        <v>74</v>
      </c>
      <c r="AR788" t="s">
        <v>2673</v>
      </c>
      <c r="AS788" t="s">
        <v>2674</v>
      </c>
      <c r="AT788" t="s">
        <v>11510</v>
      </c>
      <c r="AU788">
        <v>2006</v>
      </c>
      <c r="AV788">
        <v>26</v>
      </c>
      <c r="AW788" t="s">
        <v>11823</v>
      </c>
      <c r="AX788" t="s">
        <v>74</v>
      </c>
      <c r="AY788" t="s">
        <v>74</v>
      </c>
      <c r="AZ788" t="s">
        <v>74</v>
      </c>
      <c r="BA788" t="s">
        <v>74</v>
      </c>
      <c r="BB788">
        <v>273</v>
      </c>
      <c r="BC788">
        <v>284</v>
      </c>
      <c r="BD788" t="s">
        <v>74</v>
      </c>
      <c r="BE788" t="s">
        <v>11857</v>
      </c>
      <c r="BF788" t="str">
        <f>HYPERLINK("http://dx.doi.org/10.1007/s00382-005-0063-y","http://dx.doi.org/10.1007/s00382-005-0063-y")</f>
        <v>http://dx.doi.org/10.1007/s00382-005-0063-y</v>
      </c>
      <c r="BG788" t="s">
        <v>74</v>
      </c>
      <c r="BH788" t="s">
        <v>74</v>
      </c>
      <c r="BI788">
        <v>12</v>
      </c>
      <c r="BJ788" t="s">
        <v>869</v>
      </c>
      <c r="BK788" t="s">
        <v>97</v>
      </c>
      <c r="BL788" t="s">
        <v>869</v>
      </c>
      <c r="BM788" t="s">
        <v>11825</v>
      </c>
      <c r="BN788" t="s">
        <v>74</v>
      </c>
      <c r="BO788" t="s">
        <v>99</v>
      </c>
      <c r="BP788" t="s">
        <v>74</v>
      </c>
      <c r="BQ788" t="s">
        <v>74</v>
      </c>
      <c r="BR788" t="s">
        <v>100</v>
      </c>
      <c r="BS788" t="s">
        <v>11858</v>
      </c>
      <c r="BT788" t="str">
        <f>HYPERLINK("https%3A%2F%2Fwww.webofscience.com%2Fwos%2Fwoscc%2Ffull-record%2FWOS:000235130400010","View Full Record in Web of Science")</f>
        <v>View Full Record in Web of Science</v>
      </c>
    </row>
    <row r="789" spans="1:72" x14ac:dyDescent="0.15">
      <c r="A789" t="s">
        <v>72</v>
      </c>
      <c r="B789" t="s">
        <v>11859</v>
      </c>
      <c r="C789" t="s">
        <v>74</v>
      </c>
      <c r="D789" t="s">
        <v>74</v>
      </c>
      <c r="E789" t="s">
        <v>74</v>
      </c>
      <c r="F789" t="s">
        <v>11859</v>
      </c>
      <c r="G789" t="s">
        <v>74</v>
      </c>
      <c r="H789" t="s">
        <v>74</v>
      </c>
      <c r="I789" t="s">
        <v>11860</v>
      </c>
      <c r="J789" t="s">
        <v>8157</v>
      </c>
      <c r="K789" t="s">
        <v>74</v>
      </c>
      <c r="L789" t="s">
        <v>74</v>
      </c>
      <c r="M789" t="s">
        <v>78</v>
      </c>
      <c r="N789" t="s">
        <v>79</v>
      </c>
      <c r="O789" t="s">
        <v>74</v>
      </c>
      <c r="P789" t="s">
        <v>74</v>
      </c>
      <c r="Q789" t="s">
        <v>74</v>
      </c>
      <c r="R789" t="s">
        <v>74</v>
      </c>
      <c r="S789" t="s">
        <v>74</v>
      </c>
      <c r="T789" t="s">
        <v>11861</v>
      </c>
      <c r="U789" t="s">
        <v>11862</v>
      </c>
      <c r="V789" t="s">
        <v>11863</v>
      </c>
      <c r="W789" t="s">
        <v>11864</v>
      </c>
      <c r="X789" t="s">
        <v>11865</v>
      </c>
      <c r="Y789" t="s">
        <v>11866</v>
      </c>
      <c r="Z789" t="s">
        <v>11867</v>
      </c>
      <c r="AA789" t="s">
        <v>74</v>
      </c>
      <c r="AB789" t="s">
        <v>74</v>
      </c>
      <c r="AC789" t="s">
        <v>74</v>
      </c>
      <c r="AD789" t="s">
        <v>74</v>
      </c>
      <c r="AE789" t="s">
        <v>74</v>
      </c>
      <c r="AF789" t="s">
        <v>74</v>
      </c>
      <c r="AG789">
        <v>22</v>
      </c>
      <c r="AH789">
        <v>13</v>
      </c>
      <c r="AI789">
        <v>16</v>
      </c>
      <c r="AJ789">
        <v>0</v>
      </c>
      <c r="AK789">
        <v>5</v>
      </c>
      <c r="AL789" t="s">
        <v>475</v>
      </c>
      <c r="AM789" t="s">
        <v>476</v>
      </c>
      <c r="AN789" t="s">
        <v>477</v>
      </c>
      <c r="AO789" t="s">
        <v>8159</v>
      </c>
      <c r="AP789" t="s">
        <v>11868</v>
      </c>
      <c r="AQ789" t="s">
        <v>74</v>
      </c>
      <c r="AR789" t="s">
        <v>8160</v>
      </c>
      <c r="AS789" t="s">
        <v>8161</v>
      </c>
      <c r="AT789" t="s">
        <v>11510</v>
      </c>
      <c r="AU789">
        <v>2006</v>
      </c>
      <c r="AV789">
        <v>143</v>
      </c>
      <c r="AW789">
        <v>2</v>
      </c>
      <c r="AX789" t="s">
        <v>74</v>
      </c>
      <c r="AY789" t="s">
        <v>74</v>
      </c>
      <c r="AZ789" t="s">
        <v>74</v>
      </c>
      <c r="BA789" t="s">
        <v>74</v>
      </c>
      <c r="BB789">
        <v>228</v>
      </c>
      <c r="BC789">
        <v>233</v>
      </c>
      <c r="BD789" t="s">
        <v>74</v>
      </c>
      <c r="BE789" t="s">
        <v>11869</v>
      </c>
      <c r="BF789" t="str">
        <f>HYPERLINK("http://dx.doi.org/10.1016/j.cbpa.2005.11.020","http://dx.doi.org/10.1016/j.cbpa.2005.11.020")</f>
        <v>http://dx.doi.org/10.1016/j.cbpa.2005.11.020</v>
      </c>
      <c r="BG789" t="s">
        <v>74</v>
      </c>
      <c r="BH789" t="s">
        <v>74</v>
      </c>
      <c r="BI789">
        <v>6</v>
      </c>
      <c r="BJ789" t="s">
        <v>8163</v>
      </c>
      <c r="BK789" t="s">
        <v>97</v>
      </c>
      <c r="BL789" t="s">
        <v>8163</v>
      </c>
      <c r="BM789" t="s">
        <v>11870</v>
      </c>
      <c r="BN789">
        <v>16412673</v>
      </c>
      <c r="BO789" t="s">
        <v>74</v>
      </c>
      <c r="BP789" t="s">
        <v>74</v>
      </c>
      <c r="BQ789" t="s">
        <v>74</v>
      </c>
      <c r="BR789" t="s">
        <v>100</v>
      </c>
      <c r="BS789" t="s">
        <v>11871</v>
      </c>
      <c r="BT789" t="str">
        <f>HYPERLINK("https%3A%2F%2Fwww.webofscience.com%2Fwos%2Fwoscc%2Ffull-record%2FWOS:000235583300010","View Full Record in Web of Science")</f>
        <v>View Full Record in Web of Science</v>
      </c>
    </row>
    <row r="790" spans="1:72" x14ac:dyDescent="0.15">
      <c r="A790" t="s">
        <v>72</v>
      </c>
      <c r="B790" t="s">
        <v>11872</v>
      </c>
      <c r="C790" t="s">
        <v>74</v>
      </c>
      <c r="D790" t="s">
        <v>74</v>
      </c>
      <c r="E790" t="s">
        <v>74</v>
      </c>
      <c r="F790" t="s">
        <v>11873</v>
      </c>
      <c r="G790" t="s">
        <v>74</v>
      </c>
      <c r="H790" t="s">
        <v>74</v>
      </c>
      <c r="I790" t="s">
        <v>11874</v>
      </c>
      <c r="J790" t="s">
        <v>6754</v>
      </c>
      <c r="K790" t="s">
        <v>74</v>
      </c>
      <c r="L790" t="s">
        <v>74</v>
      </c>
      <c r="M790" t="s">
        <v>78</v>
      </c>
      <c r="N790" t="s">
        <v>79</v>
      </c>
      <c r="O790" t="s">
        <v>74</v>
      </c>
      <c r="P790" t="s">
        <v>74</v>
      </c>
      <c r="Q790" t="s">
        <v>74</v>
      </c>
      <c r="R790" t="s">
        <v>74</v>
      </c>
      <c r="S790" t="s">
        <v>74</v>
      </c>
      <c r="T790" t="s">
        <v>74</v>
      </c>
      <c r="U790" t="s">
        <v>74</v>
      </c>
      <c r="V790" t="s">
        <v>74</v>
      </c>
      <c r="W790" t="s">
        <v>11875</v>
      </c>
      <c r="X790" t="s">
        <v>11876</v>
      </c>
      <c r="Y790" t="s">
        <v>11877</v>
      </c>
      <c r="Z790" t="s">
        <v>11878</v>
      </c>
      <c r="AA790" t="s">
        <v>74</v>
      </c>
      <c r="AB790" t="s">
        <v>11879</v>
      </c>
      <c r="AC790" t="s">
        <v>74</v>
      </c>
      <c r="AD790" t="s">
        <v>74</v>
      </c>
      <c r="AE790" t="s">
        <v>74</v>
      </c>
      <c r="AF790" t="s">
        <v>74</v>
      </c>
      <c r="AG790">
        <v>5</v>
      </c>
      <c r="AH790">
        <v>3</v>
      </c>
      <c r="AI790">
        <v>3</v>
      </c>
      <c r="AJ790">
        <v>0</v>
      </c>
      <c r="AK790">
        <v>0</v>
      </c>
      <c r="AL790" t="s">
        <v>601</v>
      </c>
      <c r="AM790" t="s">
        <v>476</v>
      </c>
      <c r="AN790" t="s">
        <v>602</v>
      </c>
      <c r="AO790" t="s">
        <v>6761</v>
      </c>
      <c r="AP790" t="s">
        <v>6762</v>
      </c>
      <c r="AQ790" t="s">
        <v>74</v>
      </c>
      <c r="AR790" t="s">
        <v>6763</v>
      </c>
      <c r="AS790" t="s">
        <v>6764</v>
      </c>
      <c r="AT790" t="s">
        <v>11510</v>
      </c>
      <c r="AU790">
        <v>2006</v>
      </c>
      <c r="AV790">
        <v>407</v>
      </c>
      <c r="AW790">
        <v>2</v>
      </c>
      <c r="AX790" t="s">
        <v>74</v>
      </c>
      <c r="AY790" t="s">
        <v>74</v>
      </c>
      <c r="AZ790" t="s">
        <v>74</v>
      </c>
      <c r="BA790" t="s">
        <v>74</v>
      </c>
      <c r="BB790">
        <v>326</v>
      </c>
      <c r="BC790">
        <v>329</v>
      </c>
      <c r="BD790" t="s">
        <v>74</v>
      </c>
      <c r="BE790" t="s">
        <v>11880</v>
      </c>
      <c r="BF790" t="str">
        <f>HYPERLINK("http://dx.doi.org/10.1134/S1028334X06020395","http://dx.doi.org/10.1134/S1028334X06020395")</f>
        <v>http://dx.doi.org/10.1134/S1028334X06020395</v>
      </c>
      <c r="BG790" t="s">
        <v>74</v>
      </c>
      <c r="BH790" t="s">
        <v>74</v>
      </c>
      <c r="BI790">
        <v>4</v>
      </c>
      <c r="BJ790" t="s">
        <v>527</v>
      </c>
      <c r="BK790" t="s">
        <v>97</v>
      </c>
      <c r="BL790" t="s">
        <v>528</v>
      </c>
      <c r="BM790" t="s">
        <v>11881</v>
      </c>
      <c r="BN790" t="s">
        <v>74</v>
      </c>
      <c r="BO790" t="s">
        <v>74</v>
      </c>
      <c r="BP790" t="s">
        <v>74</v>
      </c>
      <c r="BQ790" t="s">
        <v>74</v>
      </c>
      <c r="BR790" t="s">
        <v>100</v>
      </c>
      <c r="BS790" t="s">
        <v>11882</v>
      </c>
      <c r="BT790" t="str">
        <f>HYPERLINK("https%3A%2F%2Fwww.webofscience.com%2Fwos%2Fwoscc%2Ffull-record%2FWOS:000244524900039","View Full Record in Web of Science")</f>
        <v>View Full Record in Web of Science</v>
      </c>
    </row>
    <row r="791" spans="1:72" x14ac:dyDescent="0.15">
      <c r="A791" t="s">
        <v>72</v>
      </c>
      <c r="B791" t="s">
        <v>11883</v>
      </c>
      <c r="C791" t="s">
        <v>74</v>
      </c>
      <c r="D791" t="s">
        <v>74</v>
      </c>
      <c r="E791" t="s">
        <v>74</v>
      </c>
      <c r="F791" t="s">
        <v>11883</v>
      </c>
      <c r="G791" t="s">
        <v>74</v>
      </c>
      <c r="H791" t="s">
        <v>74</v>
      </c>
      <c r="I791" t="s">
        <v>11884</v>
      </c>
      <c r="J791" t="s">
        <v>510</v>
      </c>
      <c r="K791" t="s">
        <v>74</v>
      </c>
      <c r="L791" t="s">
        <v>74</v>
      </c>
      <c r="M791" t="s">
        <v>78</v>
      </c>
      <c r="N791" t="s">
        <v>79</v>
      </c>
      <c r="O791" t="s">
        <v>74</v>
      </c>
      <c r="P791" t="s">
        <v>74</v>
      </c>
      <c r="Q791" t="s">
        <v>74</v>
      </c>
      <c r="R791" t="s">
        <v>74</v>
      </c>
      <c r="S791" t="s">
        <v>74</v>
      </c>
      <c r="T791" t="s">
        <v>11885</v>
      </c>
      <c r="U791" t="s">
        <v>11886</v>
      </c>
      <c r="V791" t="s">
        <v>11887</v>
      </c>
      <c r="W791" t="s">
        <v>2334</v>
      </c>
      <c r="X791" t="s">
        <v>407</v>
      </c>
      <c r="Y791" t="s">
        <v>7928</v>
      </c>
      <c r="Z791" t="s">
        <v>11387</v>
      </c>
      <c r="AA791" t="s">
        <v>74</v>
      </c>
      <c r="AB791" t="s">
        <v>74</v>
      </c>
      <c r="AC791" t="s">
        <v>9864</v>
      </c>
      <c r="AD791" t="s">
        <v>1328</v>
      </c>
      <c r="AE791" t="s">
        <v>74</v>
      </c>
      <c r="AF791" t="s">
        <v>74</v>
      </c>
      <c r="AG791">
        <v>66</v>
      </c>
      <c r="AH791">
        <v>87</v>
      </c>
      <c r="AI791">
        <v>94</v>
      </c>
      <c r="AJ791">
        <v>0</v>
      </c>
      <c r="AK791">
        <v>14</v>
      </c>
      <c r="AL791" t="s">
        <v>519</v>
      </c>
      <c r="AM791" t="s">
        <v>520</v>
      </c>
      <c r="AN791" t="s">
        <v>521</v>
      </c>
      <c r="AO791" t="s">
        <v>522</v>
      </c>
      <c r="AP791" t="s">
        <v>523</v>
      </c>
      <c r="AQ791" t="s">
        <v>74</v>
      </c>
      <c r="AR791" t="s">
        <v>524</v>
      </c>
      <c r="AS791" t="s">
        <v>525</v>
      </c>
      <c r="AT791" t="s">
        <v>11510</v>
      </c>
      <c r="AU791">
        <v>2006</v>
      </c>
      <c r="AV791">
        <v>74</v>
      </c>
      <c r="AW791" t="s">
        <v>1243</v>
      </c>
      <c r="AX791" t="s">
        <v>74</v>
      </c>
      <c r="AY791" t="s">
        <v>74</v>
      </c>
      <c r="AZ791" t="s">
        <v>74</v>
      </c>
      <c r="BA791" t="s">
        <v>74</v>
      </c>
      <c r="BB791">
        <v>241</v>
      </c>
      <c r="BC791">
        <v>268</v>
      </c>
      <c r="BD791" t="s">
        <v>74</v>
      </c>
      <c r="BE791" t="s">
        <v>11888</v>
      </c>
      <c r="BF791" t="str">
        <f>HYPERLINK("http://dx.doi.org/10.1016/j.earscirev.2005.09.004","http://dx.doi.org/10.1016/j.earscirev.2005.09.004")</f>
        <v>http://dx.doi.org/10.1016/j.earscirev.2005.09.004</v>
      </c>
      <c r="BG791" t="s">
        <v>74</v>
      </c>
      <c r="BH791" t="s">
        <v>74</v>
      </c>
      <c r="BI791">
        <v>28</v>
      </c>
      <c r="BJ791" t="s">
        <v>527</v>
      </c>
      <c r="BK791" t="s">
        <v>97</v>
      </c>
      <c r="BL791" t="s">
        <v>528</v>
      </c>
      <c r="BM791" t="s">
        <v>11889</v>
      </c>
      <c r="BN791" t="s">
        <v>74</v>
      </c>
      <c r="BO791" t="s">
        <v>74</v>
      </c>
      <c r="BP791" t="s">
        <v>74</v>
      </c>
      <c r="BQ791" t="s">
        <v>74</v>
      </c>
      <c r="BR791" t="s">
        <v>100</v>
      </c>
      <c r="BS791" t="s">
        <v>11890</v>
      </c>
      <c r="BT791" t="str">
        <f>HYPERLINK("https%3A%2F%2Fwww.webofscience.com%2Fwos%2Fwoscc%2Ffull-record%2FWOS:000236213300003","View Full Record in Web of Science")</f>
        <v>View Full Record in Web of Science</v>
      </c>
    </row>
    <row r="792" spans="1:72" x14ac:dyDescent="0.15">
      <c r="A792" t="s">
        <v>72</v>
      </c>
      <c r="B792" t="s">
        <v>11891</v>
      </c>
      <c r="C792" t="s">
        <v>74</v>
      </c>
      <c r="D792" t="s">
        <v>74</v>
      </c>
      <c r="E792" t="s">
        <v>74</v>
      </c>
      <c r="F792" t="s">
        <v>11891</v>
      </c>
      <c r="G792" t="s">
        <v>74</v>
      </c>
      <c r="H792" t="s">
        <v>74</v>
      </c>
      <c r="I792" t="s">
        <v>11892</v>
      </c>
      <c r="J792" t="s">
        <v>11893</v>
      </c>
      <c r="K792" t="s">
        <v>74</v>
      </c>
      <c r="L792" t="s">
        <v>74</v>
      </c>
      <c r="M792" t="s">
        <v>78</v>
      </c>
      <c r="N792" t="s">
        <v>79</v>
      </c>
      <c r="O792" t="s">
        <v>74</v>
      </c>
      <c r="P792" t="s">
        <v>74</v>
      </c>
      <c r="Q792" t="s">
        <v>74</v>
      </c>
      <c r="R792" t="s">
        <v>74</v>
      </c>
      <c r="S792" t="s">
        <v>74</v>
      </c>
      <c r="T792" t="s">
        <v>11894</v>
      </c>
      <c r="U792" t="s">
        <v>11895</v>
      </c>
      <c r="V792" t="s">
        <v>11896</v>
      </c>
      <c r="W792" t="s">
        <v>11897</v>
      </c>
      <c r="X792" t="s">
        <v>11898</v>
      </c>
      <c r="Y792" t="s">
        <v>11899</v>
      </c>
      <c r="Z792" t="s">
        <v>11900</v>
      </c>
      <c r="AA792" t="s">
        <v>74</v>
      </c>
      <c r="AB792" t="s">
        <v>74</v>
      </c>
      <c r="AC792" t="s">
        <v>1550</v>
      </c>
      <c r="AD792" t="s">
        <v>1328</v>
      </c>
      <c r="AE792" t="s">
        <v>74</v>
      </c>
      <c r="AF792" t="s">
        <v>74</v>
      </c>
      <c r="AG792">
        <v>46</v>
      </c>
      <c r="AH792">
        <v>50</v>
      </c>
      <c r="AI792">
        <v>59</v>
      </c>
      <c r="AJ792">
        <v>0</v>
      </c>
      <c r="AK792">
        <v>34</v>
      </c>
      <c r="AL792" t="s">
        <v>115</v>
      </c>
      <c r="AM792" t="s">
        <v>116</v>
      </c>
      <c r="AN792" t="s">
        <v>117</v>
      </c>
      <c r="AO792" t="s">
        <v>11901</v>
      </c>
      <c r="AP792" t="s">
        <v>11902</v>
      </c>
      <c r="AQ792" t="s">
        <v>74</v>
      </c>
      <c r="AR792" t="s">
        <v>11903</v>
      </c>
      <c r="AS792" t="s">
        <v>11904</v>
      </c>
      <c r="AT792" t="s">
        <v>11510</v>
      </c>
      <c r="AU792">
        <v>2006</v>
      </c>
      <c r="AV792">
        <v>16</v>
      </c>
      <c r="AW792">
        <v>1</v>
      </c>
      <c r="AX792" t="s">
        <v>74</v>
      </c>
      <c r="AY792" t="s">
        <v>74</v>
      </c>
      <c r="AZ792" t="s">
        <v>74</v>
      </c>
      <c r="BA792" t="s">
        <v>74</v>
      </c>
      <c r="BB792">
        <v>419</v>
      </c>
      <c r="BC792">
        <v>432</v>
      </c>
      <c r="BD792" t="s">
        <v>74</v>
      </c>
      <c r="BE792" t="s">
        <v>11905</v>
      </c>
      <c r="BF792" t="str">
        <f>HYPERLINK("http://dx.doi.org/10.1890/03-5340","http://dx.doi.org/10.1890/03-5340")</f>
        <v>http://dx.doi.org/10.1890/03-5340</v>
      </c>
      <c r="BG792" t="s">
        <v>74</v>
      </c>
      <c r="BH792" t="s">
        <v>74</v>
      </c>
      <c r="BI792">
        <v>14</v>
      </c>
      <c r="BJ792" t="s">
        <v>3603</v>
      </c>
      <c r="BK792" t="s">
        <v>97</v>
      </c>
      <c r="BL792" t="s">
        <v>420</v>
      </c>
      <c r="BM792" t="s">
        <v>11906</v>
      </c>
      <c r="BN792">
        <v>16705990</v>
      </c>
      <c r="BO792" t="s">
        <v>74</v>
      </c>
      <c r="BP792" t="s">
        <v>74</v>
      </c>
      <c r="BQ792" t="s">
        <v>74</v>
      </c>
      <c r="BR792" t="s">
        <v>100</v>
      </c>
      <c r="BS792" t="s">
        <v>11907</v>
      </c>
      <c r="BT792" t="str">
        <f>HYPERLINK("https%3A%2F%2Fwww.webofscience.com%2Fwos%2Fwoscc%2Ffull-record%2FWOS:000236510100036","View Full Record in Web of Science")</f>
        <v>View Full Record in Web of Science</v>
      </c>
    </row>
    <row r="793" spans="1:72" x14ac:dyDescent="0.15">
      <c r="A793" t="s">
        <v>72</v>
      </c>
      <c r="B793" t="s">
        <v>11908</v>
      </c>
      <c r="C793" t="s">
        <v>74</v>
      </c>
      <c r="D793" t="s">
        <v>74</v>
      </c>
      <c r="E793" t="s">
        <v>74</v>
      </c>
      <c r="F793" t="s">
        <v>11908</v>
      </c>
      <c r="G793" t="s">
        <v>74</v>
      </c>
      <c r="H793" t="s">
        <v>74</v>
      </c>
      <c r="I793" t="s">
        <v>11909</v>
      </c>
      <c r="J793" t="s">
        <v>11910</v>
      </c>
      <c r="K793" t="s">
        <v>74</v>
      </c>
      <c r="L793" t="s">
        <v>74</v>
      </c>
      <c r="M793" t="s">
        <v>78</v>
      </c>
      <c r="N793" t="s">
        <v>79</v>
      </c>
      <c r="O793" t="s">
        <v>74</v>
      </c>
      <c r="P793" t="s">
        <v>74</v>
      </c>
      <c r="Q793" t="s">
        <v>74</v>
      </c>
      <c r="R793" t="s">
        <v>74</v>
      </c>
      <c r="S793" t="s">
        <v>74</v>
      </c>
      <c r="T793" t="s">
        <v>11911</v>
      </c>
      <c r="U793" t="s">
        <v>11912</v>
      </c>
      <c r="V793" t="s">
        <v>11913</v>
      </c>
      <c r="W793" t="s">
        <v>11914</v>
      </c>
      <c r="X793" t="s">
        <v>6241</v>
      </c>
      <c r="Y793" t="s">
        <v>11915</v>
      </c>
      <c r="Z793" t="s">
        <v>11916</v>
      </c>
      <c r="AA793" t="s">
        <v>11917</v>
      </c>
      <c r="AB793" t="s">
        <v>11918</v>
      </c>
      <c r="AC793" t="s">
        <v>74</v>
      </c>
      <c r="AD793" t="s">
        <v>74</v>
      </c>
      <c r="AE793" t="s">
        <v>74</v>
      </c>
      <c r="AF793" t="s">
        <v>74</v>
      </c>
      <c r="AG793">
        <v>49</v>
      </c>
      <c r="AH793">
        <v>20</v>
      </c>
      <c r="AI793">
        <v>20</v>
      </c>
      <c r="AJ793">
        <v>0</v>
      </c>
      <c r="AK793">
        <v>10</v>
      </c>
      <c r="AL793" t="s">
        <v>115</v>
      </c>
      <c r="AM793" t="s">
        <v>116</v>
      </c>
      <c r="AN793" t="s">
        <v>117</v>
      </c>
      <c r="AO793" t="s">
        <v>11919</v>
      </c>
      <c r="AP793" t="s">
        <v>11920</v>
      </c>
      <c r="AQ793" t="s">
        <v>74</v>
      </c>
      <c r="AR793" t="s">
        <v>11921</v>
      </c>
      <c r="AS793" t="s">
        <v>11922</v>
      </c>
      <c r="AT793" t="s">
        <v>11510</v>
      </c>
      <c r="AU793">
        <v>2006</v>
      </c>
      <c r="AV793">
        <v>25</v>
      </c>
      <c r="AW793">
        <v>2</v>
      </c>
      <c r="AX793" t="s">
        <v>74</v>
      </c>
      <c r="AY793" t="s">
        <v>74</v>
      </c>
      <c r="AZ793" t="s">
        <v>74</v>
      </c>
      <c r="BA793" t="s">
        <v>74</v>
      </c>
      <c r="BB793">
        <v>356</v>
      </c>
      <c r="BC793">
        <v>366</v>
      </c>
      <c r="BD793" t="s">
        <v>74</v>
      </c>
      <c r="BE793" t="s">
        <v>11923</v>
      </c>
      <c r="BF793" t="str">
        <f>HYPERLINK("http://dx.doi.org/10.1897/05-015R.1","http://dx.doi.org/10.1897/05-015R.1")</f>
        <v>http://dx.doi.org/10.1897/05-015R.1</v>
      </c>
      <c r="BG793" t="s">
        <v>74</v>
      </c>
      <c r="BH793" t="s">
        <v>74</v>
      </c>
      <c r="BI793">
        <v>11</v>
      </c>
      <c r="BJ793" t="s">
        <v>11924</v>
      </c>
      <c r="BK793" t="s">
        <v>97</v>
      </c>
      <c r="BL793" t="s">
        <v>6784</v>
      </c>
      <c r="BM793" t="s">
        <v>11925</v>
      </c>
      <c r="BN793">
        <v>16519295</v>
      </c>
      <c r="BO793" t="s">
        <v>74</v>
      </c>
      <c r="BP793" t="s">
        <v>74</v>
      </c>
      <c r="BQ793" t="s">
        <v>74</v>
      </c>
      <c r="BR793" t="s">
        <v>100</v>
      </c>
      <c r="BS793" t="s">
        <v>11926</v>
      </c>
      <c r="BT793" t="str">
        <f>HYPERLINK("https%3A%2F%2Fwww.webofscience.com%2Fwos%2Fwoscc%2Ffull-record%2FWOS:000234792000007","View Full Record in Web of Science")</f>
        <v>View Full Record in Web of Science</v>
      </c>
    </row>
    <row r="794" spans="1:72" x14ac:dyDescent="0.15">
      <c r="A794" t="s">
        <v>72</v>
      </c>
      <c r="B794" t="s">
        <v>11927</v>
      </c>
      <c r="C794" t="s">
        <v>74</v>
      </c>
      <c r="D794" t="s">
        <v>74</v>
      </c>
      <c r="E794" t="s">
        <v>74</v>
      </c>
      <c r="F794" t="s">
        <v>11927</v>
      </c>
      <c r="G794" t="s">
        <v>74</v>
      </c>
      <c r="H794" t="s">
        <v>74</v>
      </c>
      <c r="I794" t="s">
        <v>11928</v>
      </c>
      <c r="J794" t="s">
        <v>5004</v>
      </c>
      <c r="K794" t="s">
        <v>74</v>
      </c>
      <c r="L794" t="s">
        <v>74</v>
      </c>
      <c r="M794" t="s">
        <v>78</v>
      </c>
      <c r="N794" t="s">
        <v>79</v>
      </c>
      <c r="O794" t="s">
        <v>74</v>
      </c>
      <c r="P794" t="s">
        <v>74</v>
      </c>
      <c r="Q794" t="s">
        <v>74</v>
      </c>
      <c r="R794" t="s">
        <v>74</v>
      </c>
      <c r="S794" t="s">
        <v>74</v>
      </c>
      <c r="T794" t="s">
        <v>11929</v>
      </c>
      <c r="U794" t="s">
        <v>11930</v>
      </c>
      <c r="V794" t="s">
        <v>11931</v>
      </c>
      <c r="W794" t="s">
        <v>11932</v>
      </c>
      <c r="X794" t="s">
        <v>11933</v>
      </c>
      <c r="Y794" t="s">
        <v>11934</v>
      </c>
      <c r="Z794" t="s">
        <v>11935</v>
      </c>
      <c r="AA794" t="s">
        <v>11936</v>
      </c>
      <c r="AB794" t="s">
        <v>11937</v>
      </c>
      <c r="AC794" t="s">
        <v>74</v>
      </c>
      <c r="AD794" t="s">
        <v>74</v>
      </c>
      <c r="AE794" t="s">
        <v>74</v>
      </c>
      <c r="AF794" t="s">
        <v>74</v>
      </c>
      <c r="AG794">
        <v>30</v>
      </c>
      <c r="AH794">
        <v>11</v>
      </c>
      <c r="AI794">
        <v>14</v>
      </c>
      <c r="AJ794">
        <v>0</v>
      </c>
      <c r="AK794">
        <v>4</v>
      </c>
      <c r="AL794" t="s">
        <v>11938</v>
      </c>
      <c r="AM794" t="s">
        <v>5015</v>
      </c>
      <c r="AN794" t="s">
        <v>11939</v>
      </c>
      <c r="AO794" t="s">
        <v>5017</v>
      </c>
      <c r="AP794" t="s">
        <v>11940</v>
      </c>
      <c r="AQ794" t="s">
        <v>74</v>
      </c>
      <c r="AR794" t="s">
        <v>5004</v>
      </c>
      <c r="AS794" t="s">
        <v>5018</v>
      </c>
      <c r="AT794" t="s">
        <v>11510</v>
      </c>
      <c r="AU794">
        <v>2006</v>
      </c>
      <c r="AV794">
        <v>10</v>
      </c>
      <c r="AW794">
        <v>1</v>
      </c>
      <c r="AX794" t="s">
        <v>74</v>
      </c>
      <c r="AY794" t="s">
        <v>74</v>
      </c>
      <c r="AZ794" t="s">
        <v>74</v>
      </c>
      <c r="BA794" t="s">
        <v>74</v>
      </c>
      <c r="BB794">
        <v>41</v>
      </c>
      <c r="BC794">
        <v>51</v>
      </c>
      <c r="BD794" t="s">
        <v>74</v>
      </c>
      <c r="BE794" t="s">
        <v>11941</v>
      </c>
      <c r="BF794" t="str">
        <f>HYPERLINK("http://dx.doi.org/10.1007/s00792-005-0470-3","http://dx.doi.org/10.1007/s00792-005-0470-3")</f>
        <v>http://dx.doi.org/10.1007/s00792-005-0470-3</v>
      </c>
      <c r="BG794" t="s">
        <v>74</v>
      </c>
      <c r="BH794" t="s">
        <v>74</v>
      </c>
      <c r="BI794">
        <v>11</v>
      </c>
      <c r="BJ794" t="s">
        <v>5020</v>
      </c>
      <c r="BK794" t="s">
        <v>97</v>
      </c>
      <c r="BL794" t="s">
        <v>5020</v>
      </c>
      <c r="BM794" t="s">
        <v>11942</v>
      </c>
      <c r="BN794">
        <v>16179963</v>
      </c>
      <c r="BO794" t="s">
        <v>74</v>
      </c>
      <c r="BP794" t="s">
        <v>74</v>
      </c>
      <c r="BQ794" t="s">
        <v>74</v>
      </c>
      <c r="BR794" t="s">
        <v>100</v>
      </c>
      <c r="BS794" t="s">
        <v>11943</v>
      </c>
      <c r="BT794" t="str">
        <f>HYPERLINK("https%3A%2F%2Fwww.webofscience.com%2Fwos%2Fwoscc%2Ffull-record%2FWOS:000235607500005","View Full Record in Web of Science")</f>
        <v>View Full Record in Web of Science</v>
      </c>
    </row>
    <row r="795" spans="1:72" x14ac:dyDescent="0.15">
      <c r="A795" t="s">
        <v>72</v>
      </c>
      <c r="B795" t="s">
        <v>11944</v>
      </c>
      <c r="C795" t="s">
        <v>74</v>
      </c>
      <c r="D795" t="s">
        <v>74</v>
      </c>
      <c r="E795" t="s">
        <v>74</v>
      </c>
      <c r="F795" t="s">
        <v>11944</v>
      </c>
      <c r="G795" t="s">
        <v>74</v>
      </c>
      <c r="H795" t="s">
        <v>74</v>
      </c>
      <c r="I795" t="s">
        <v>11945</v>
      </c>
      <c r="J795" t="s">
        <v>733</v>
      </c>
      <c r="K795" t="s">
        <v>74</v>
      </c>
      <c r="L795" t="s">
        <v>74</v>
      </c>
      <c r="M795" t="s">
        <v>78</v>
      </c>
      <c r="N795" t="s">
        <v>79</v>
      </c>
      <c r="O795" t="s">
        <v>74</v>
      </c>
      <c r="P795" t="s">
        <v>74</v>
      </c>
      <c r="Q795" t="s">
        <v>74</v>
      </c>
      <c r="R795" t="s">
        <v>74</v>
      </c>
      <c r="S795" t="s">
        <v>74</v>
      </c>
      <c r="T795" t="s">
        <v>11946</v>
      </c>
      <c r="U795" t="s">
        <v>11947</v>
      </c>
      <c r="V795" t="s">
        <v>11948</v>
      </c>
      <c r="W795" t="s">
        <v>11949</v>
      </c>
      <c r="X795" t="s">
        <v>11295</v>
      </c>
      <c r="Y795" t="s">
        <v>11950</v>
      </c>
      <c r="Z795" t="s">
        <v>11951</v>
      </c>
      <c r="AA795" t="s">
        <v>74</v>
      </c>
      <c r="AB795" t="s">
        <v>11952</v>
      </c>
      <c r="AC795" t="s">
        <v>74</v>
      </c>
      <c r="AD795" t="s">
        <v>74</v>
      </c>
      <c r="AE795" t="s">
        <v>74</v>
      </c>
      <c r="AF795" t="s">
        <v>74</v>
      </c>
      <c r="AG795">
        <v>31</v>
      </c>
      <c r="AH795">
        <v>113</v>
      </c>
      <c r="AI795">
        <v>123</v>
      </c>
      <c r="AJ795">
        <v>0</v>
      </c>
      <c r="AK795">
        <v>42</v>
      </c>
      <c r="AL795" t="s">
        <v>742</v>
      </c>
      <c r="AM795" t="s">
        <v>161</v>
      </c>
      <c r="AN795" t="s">
        <v>743</v>
      </c>
      <c r="AO795" t="s">
        <v>744</v>
      </c>
      <c r="AP795" t="s">
        <v>74</v>
      </c>
      <c r="AQ795" t="s">
        <v>74</v>
      </c>
      <c r="AR795" t="s">
        <v>733</v>
      </c>
      <c r="AS795" t="s">
        <v>528</v>
      </c>
      <c r="AT795" t="s">
        <v>11510</v>
      </c>
      <c r="AU795">
        <v>2006</v>
      </c>
      <c r="AV795">
        <v>34</v>
      </c>
      <c r="AW795">
        <v>2</v>
      </c>
      <c r="AX795" t="s">
        <v>74</v>
      </c>
      <c r="AY795" t="s">
        <v>74</v>
      </c>
      <c r="AZ795" t="s">
        <v>74</v>
      </c>
      <c r="BA795" t="s">
        <v>74</v>
      </c>
      <c r="BB795">
        <v>121</v>
      </c>
      <c r="BC795">
        <v>124</v>
      </c>
      <c r="BD795" t="s">
        <v>74</v>
      </c>
      <c r="BE795" t="s">
        <v>11953</v>
      </c>
      <c r="BF795" t="str">
        <f>HYPERLINK("http://dx.doi.org/10.1130/G22151.1","http://dx.doi.org/10.1130/G22151.1")</f>
        <v>http://dx.doi.org/10.1130/G22151.1</v>
      </c>
      <c r="BG795" t="s">
        <v>74</v>
      </c>
      <c r="BH795" t="s">
        <v>74</v>
      </c>
      <c r="BI795">
        <v>4</v>
      </c>
      <c r="BJ795" t="s">
        <v>528</v>
      </c>
      <c r="BK795" t="s">
        <v>97</v>
      </c>
      <c r="BL795" t="s">
        <v>528</v>
      </c>
      <c r="BM795" t="s">
        <v>11954</v>
      </c>
      <c r="BN795" t="s">
        <v>74</v>
      </c>
      <c r="BO795" t="s">
        <v>74</v>
      </c>
      <c r="BP795" t="s">
        <v>74</v>
      </c>
      <c r="BQ795" t="s">
        <v>74</v>
      </c>
      <c r="BR795" t="s">
        <v>100</v>
      </c>
      <c r="BS795" t="s">
        <v>11955</v>
      </c>
      <c r="BT795" t="str">
        <f>HYPERLINK("https%3A%2F%2Fwww.webofscience.com%2Fwos%2Fwoscc%2Ffull-record%2FWOS:000235224000015","View Full Record in Web of Science")</f>
        <v>View Full Record in Web of Science</v>
      </c>
    </row>
    <row r="796" spans="1:72" x14ac:dyDescent="0.15">
      <c r="A796" t="s">
        <v>72</v>
      </c>
      <c r="B796" t="s">
        <v>11956</v>
      </c>
      <c r="C796" t="s">
        <v>74</v>
      </c>
      <c r="D796" t="s">
        <v>74</v>
      </c>
      <c r="E796" t="s">
        <v>74</v>
      </c>
      <c r="F796" t="s">
        <v>11956</v>
      </c>
      <c r="G796" t="s">
        <v>74</v>
      </c>
      <c r="H796" t="s">
        <v>74</v>
      </c>
      <c r="I796" t="s">
        <v>11957</v>
      </c>
      <c r="J796" t="s">
        <v>8446</v>
      </c>
      <c r="K796" t="s">
        <v>74</v>
      </c>
      <c r="L796" t="s">
        <v>74</v>
      </c>
      <c r="M796" t="s">
        <v>78</v>
      </c>
      <c r="N796" t="s">
        <v>79</v>
      </c>
      <c r="O796" t="s">
        <v>74</v>
      </c>
      <c r="P796" t="s">
        <v>74</v>
      </c>
      <c r="Q796" t="s">
        <v>74</v>
      </c>
      <c r="R796" t="s">
        <v>74</v>
      </c>
      <c r="S796" t="s">
        <v>74</v>
      </c>
      <c r="T796" t="s">
        <v>11958</v>
      </c>
      <c r="U796" t="s">
        <v>11959</v>
      </c>
      <c r="V796" t="s">
        <v>11960</v>
      </c>
      <c r="W796" t="s">
        <v>11961</v>
      </c>
      <c r="X796" t="s">
        <v>11962</v>
      </c>
      <c r="Y796" t="s">
        <v>11963</v>
      </c>
      <c r="Z796" t="s">
        <v>11964</v>
      </c>
      <c r="AA796" t="s">
        <v>74</v>
      </c>
      <c r="AB796" t="s">
        <v>11965</v>
      </c>
      <c r="AC796" t="s">
        <v>74</v>
      </c>
      <c r="AD796" t="s">
        <v>74</v>
      </c>
      <c r="AE796" t="s">
        <v>74</v>
      </c>
      <c r="AF796" t="s">
        <v>74</v>
      </c>
      <c r="AG796">
        <v>47</v>
      </c>
      <c r="AH796">
        <v>4</v>
      </c>
      <c r="AI796">
        <v>4</v>
      </c>
      <c r="AJ796">
        <v>0</v>
      </c>
      <c r="AK796">
        <v>16</v>
      </c>
      <c r="AL796" t="s">
        <v>519</v>
      </c>
      <c r="AM796" t="s">
        <v>520</v>
      </c>
      <c r="AN796" t="s">
        <v>521</v>
      </c>
      <c r="AO796" t="s">
        <v>8457</v>
      </c>
      <c r="AP796" t="s">
        <v>8458</v>
      </c>
      <c r="AQ796" t="s">
        <v>74</v>
      </c>
      <c r="AR796" t="s">
        <v>8459</v>
      </c>
      <c r="AS796" t="s">
        <v>8460</v>
      </c>
      <c r="AT796" t="s">
        <v>11510</v>
      </c>
      <c r="AU796">
        <v>2006</v>
      </c>
      <c r="AV796">
        <v>50</v>
      </c>
      <c r="AW796" t="s">
        <v>765</v>
      </c>
      <c r="AX796" t="s">
        <v>74</v>
      </c>
      <c r="AY796" t="s">
        <v>74</v>
      </c>
      <c r="AZ796" t="s">
        <v>74</v>
      </c>
      <c r="BA796" t="s">
        <v>74</v>
      </c>
      <c r="BB796">
        <v>99</v>
      </c>
      <c r="BC796">
        <v>111</v>
      </c>
      <c r="BD796" t="s">
        <v>74</v>
      </c>
      <c r="BE796" t="s">
        <v>11966</v>
      </c>
      <c r="BF796" t="str">
        <f>HYPERLINK("http://dx.doi.org/10.1016/j.gloplacha.2005.12.001","http://dx.doi.org/10.1016/j.gloplacha.2005.12.001")</f>
        <v>http://dx.doi.org/10.1016/j.gloplacha.2005.12.001</v>
      </c>
      <c r="BG796" t="s">
        <v>74</v>
      </c>
      <c r="BH796" t="s">
        <v>74</v>
      </c>
      <c r="BI796">
        <v>13</v>
      </c>
      <c r="BJ796" t="s">
        <v>2893</v>
      </c>
      <c r="BK796" t="s">
        <v>97</v>
      </c>
      <c r="BL796" t="s">
        <v>2894</v>
      </c>
      <c r="BM796" t="s">
        <v>11967</v>
      </c>
      <c r="BN796" t="s">
        <v>74</v>
      </c>
      <c r="BO796" t="s">
        <v>74</v>
      </c>
      <c r="BP796" t="s">
        <v>74</v>
      </c>
      <c r="BQ796" t="s">
        <v>74</v>
      </c>
      <c r="BR796" t="s">
        <v>100</v>
      </c>
      <c r="BS796" t="s">
        <v>11968</v>
      </c>
      <c r="BT796" t="str">
        <f>HYPERLINK("https%3A%2F%2Fwww.webofscience.com%2Fwos%2Fwoscc%2Ffull-record%2FWOS:000236402400007","View Full Record in Web of Science")</f>
        <v>View Full Record in Web of Science</v>
      </c>
    </row>
    <row r="797" spans="1:72" x14ac:dyDescent="0.15">
      <c r="A797" t="s">
        <v>72</v>
      </c>
      <c r="B797" t="s">
        <v>11969</v>
      </c>
      <c r="C797" t="s">
        <v>74</v>
      </c>
      <c r="D797" t="s">
        <v>74</v>
      </c>
      <c r="E797" t="s">
        <v>74</v>
      </c>
      <c r="F797" t="s">
        <v>11969</v>
      </c>
      <c r="G797" t="s">
        <v>74</v>
      </c>
      <c r="H797" t="s">
        <v>74</v>
      </c>
      <c r="I797" t="s">
        <v>11970</v>
      </c>
      <c r="J797" t="s">
        <v>809</v>
      </c>
      <c r="K797" t="s">
        <v>74</v>
      </c>
      <c r="L797" t="s">
        <v>74</v>
      </c>
      <c r="M797" t="s">
        <v>78</v>
      </c>
      <c r="N797" t="s">
        <v>79</v>
      </c>
      <c r="O797" t="s">
        <v>74</v>
      </c>
      <c r="P797" t="s">
        <v>74</v>
      </c>
      <c r="Q797" t="s">
        <v>74</v>
      </c>
      <c r="R797" t="s">
        <v>74</v>
      </c>
      <c r="S797" t="s">
        <v>74</v>
      </c>
      <c r="T797" t="s">
        <v>74</v>
      </c>
      <c r="U797" t="s">
        <v>11971</v>
      </c>
      <c r="V797" t="s">
        <v>11972</v>
      </c>
      <c r="W797" t="s">
        <v>11973</v>
      </c>
      <c r="X797" t="s">
        <v>11974</v>
      </c>
      <c r="Y797" t="s">
        <v>11975</v>
      </c>
      <c r="Z797" t="s">
        <v>11976</v>
      </c>
      <c r="AA797" t="s">
        <v>74</v>
      </c>
      <c r="AB797" t="s">
        <v>74</v>
      </c>
      <c r="AC797" t="s">
        <v>74</v>
      </c>
      <c r="AD797" t="s">
        <v>74</v>
      </c>
      <c r="AE797" t="s">
        <v>74</v>
      </c>
      <c r="AF797" t="s">
        <v>74</v>
      </c>
      <c r="AG797">
        <v>25</v>
      </c>
      <c r="AH797">
        <v>43</v>
      </c>
      <c r="AI797">
        <v>46</v>
      </c>
      <c r="AJ797">
        <v>0</v>
      </c>
      <c r="AK797">
        <v>2</v>
      </c>
      <c r="AL797" t="s">
        <v>5213</v>
      </c>
      <c r="AM797" t="s">
        <v>557</v>
      </c>
      <c r="AN797" t="s">
        <v>5214</v>
      </c>
      <c r="AO797" t="s">
        <v>821</v>
      </c>
      <c r="AP797" t="s">
        <v>5215</v>
      </c>
      <c r="AQ797" t="s">
        <v>74</v>
      </c>
      <c r="AR797" t="s">
        <v>822</v>
      </c>
      <c r="AS797" t="s">
        <v>823</v>
      </c>
      <c r="AT797" t="s">
        <v>11510</v>
      </c>
      <c r="AU797">
        <v>2006</v>
      </c>
      <c r="AV797">
        <v>56</v>
      </c>
      <c r="AW797" t="s">
        <v>74</v>
      </c>
      <c r="AX797">
        <v>2</v>
      </c>
      <c r="AY797" t="s">
        <v>74</v>
      </c>
      <c r="AZ797" t="s">
        <v>74</v>
      </c>
      <c r="BA797" t="s">
        <v>74</v>
      </c>
      <c r="BB797">
        <v>439</v>
      </c>
      <c r="BC797">
        <v>442</v>
      </c>
      <c r="BD797" t="s">
        <v>74</v>
      </c>
      <c r="BE797" t="s">
        <v>11977</v>
      </c>
      <c r="BF797" t="str">
        <f>HYPERLINK("http://dx.doi.org/10.1099/ijs.0.64065-0","http://dx.doi.org/10.1099/ijs.0.64065-0")</f>
        <v>http://dx.doi.org/10.1099/ijs.0.64065-0</v>
      </c>
      <c r="BG797" t="s">
        <v>74</v>
      </c>
      <c r="BH797" t="s">
        <v>74</v>
      </c>
      <c r="BI797">
        <v>4</v>
      </c>
      <c r="BJ797" t="s">
        <v>587</v>
      </c>
      <c r="BK797" t="s">
        <v>97</v>
      </c>
      <c r="BL797" t="s">
        <v>587</v>
      </c>
      <c r="BM797" t="s">
        <v>11978</v>
      </c>
      <c r="BN797">
        <v>16449454</v>
      </c>
      <c r="BO797" t="s">
        <v>460</v>
      </c>
      <c r="BP797" t="s">
        <v>74</v>
      </c>
      <c r="BQ797" t="s">
        <v>74</v>
      </c>
      <c r="BR797" t="s">
        <v>100</v>
      </c>
      <c r="BS797" t="s">
        <v>11979</v>
      </c>
      <c r="BT797" t="str">
        <f>HYPERLINK("https%3A%2F%2Fwww.webofscience.com%2Fwos%2Fwoscc%2Ffull-record%2FWOS:000235815900022","View Full Record in Web of Science")</f>
        <v>View Full Record in Web of Science</v>
      </c>
    </row>
    <row r="798" spans="1:72" x14ac:dyDescent="0.15">
      <c r="A798" t="s">
        <v>72</v>
      </c>
      <c r="B798" t="s">
        <v>11980</v>
      </c>
      <c r="C798" t="s">
        <v>74</v>
      </c>
      <c r="D798" t="s">
        <v>74</v>
      </c>
      <c r="E798" t="s">
        <v>74</v>
      </c>
      <c r="F798" t="s">
        <v>11980</v>
      </c>
      <c r="G798" t="s">
        <v>74</v>
      </c>
      <c r="H798" t="s">
        <v>74</v>
      </c>
      <c r="I798" t="s">
        <v>11981</v>
      </c>
      <c r="J798" t="s">
        <v>2985</v>
      </c>
      <c r="K798" t="s">
        <v>74</v>
      </c>
      <c r="L798" t="s">
        <v>74</v>
      </c>
      <c r="M798" t="s">
        <v>78</v>
      </c>
      <c r="N798" t="s">
        <v>1226</v>
      </c>
      <c r="O798" t="s">
        <v>11982</v>
      </c>
      <c r="P798" t="s">
        <v>11983</v>
      </c>
      <c r="Q798" t="s">
        <v>11984</v>
      </c>
      <c r="R798" t="s">
        <v>74</v>
      </c>
      <c r="S798" t="s">
        <v>11985</v>
      </c>
      <c r="T798" t="s">
        <v>11986</v>
      </c>
      <c r="U798" t="s">
        <v>11987</v>
      </c>
      <c r="V798" t="s">
        <v>11988</v>
      </c>
      <c r="W798" t="s">
        <v>11989</v>
      </c>
      <c r="X798" t="s">
        <v>11990</v>
      </c>
      <c r="Y798" t="s">
        <v>11991</v>
      </c>
      <c r="Z798" t="s">
        <v>11992</v>
      </c>
      <c r="AA798" t="s">
        <v>11993</v>
      </c>
      <c r="AB798" t="s">
        <v>11994</v>
      </c>
      <c r="AC798" t="s">
        <v>74</v>
      </c>
      <c r="AD798" t="s">
        <v>74</v>
      </c>
      <c r="AE798" t="s">
        <v>74</v>
      </c>
      <c r="AF798" t="s">
        <v>74</v>
      </c>
      <c r="AG798">
        <v>42</v>
      </c>
      <c r="AH798">
        <v>23</v>
      </c>
      <c r="AI798">
        <v>23</v>
      </c>
      <c r="AJ798">
        <v>0</v>
      </c>
      <c r="AK798">
        <v>5</v>
      </c>
      <c r="AL798" t="s">
        <v>387</v>
      </c>
      <c r="AM798" t="s">
        <v>388</v>
      </c>
      <c r="AN798" t="s">
        <v>389</v>
      </c>
      <c r="AO798" t="s">
        <v>2996</v>
      </c>
      <c r="AP798" t="s">
        <v>2997</v>
      </c>
      <c r="AQ798" t="s">
        <v>74</v>
      </c>
      <c r="AR798" t="s">
        <v>2998</v>
      </c>
      <c r="AS798" t="s">
        <v>2999</v>
      </c>
      <c r="AT798" t="s">
        <v>11510</v>
      </c>
      <c r="AU798">
        <v>2006</v>
      </c>
      <c r="AV798">
        <v>68</v>
      </c>
      <c r="AW798" t="s">
        <v>11995</v>
      </c>
      <c r="AX798" t="s">
        <v>74</v>
      </c>
      <c r="AY798" t="s">
        <v>74</v>
      </c>
      <c r="AZ798" t="s">
        <v>74</v>
      </c>
      <c r="BA798" t="s">
        <v>74</v>
      </c>
      <c r="BB798">
        <v>353</v>
      </c>
      <c r="BC798">
        <v>368</v>
      </c>
      <c r="BD798" t="s">
        <v>74</v>
      </c>
      <c r="BE798" t="s">
        <v>11996</v>
      </c>
      <c r="BF798" t="str">
        <f>HYPERLINK("http://dx.doi.org/10.1016/j.jastp.2005.05.011","http://dx.doi.org/10.1016/j.jastp.2005.05.011")</f>
        <v>http://dx.doi.org/10.1016/j.jastp.2005.05.011</v>
      </c>
      <c r="BG798" t="s">
        <v>74</v>
      </c>
      <c r="BH798" t="s">
        <v>74</v>
      </c>
      <c r="BI798">
        <v>16</v>
      </c>
      <c r="BJ798" t="s">
        <v>3001</v>
      </c>
      <c r="BK798" t="s">
        <v>668</v>
      </c>
      <c r="BL798" t="s">
        <v>3001</v>
      </c>
      <c r="BM798" t="s">
        <v>11997</v>
      </c>
      <c r="BN798" t="s">
        <v>74</v>
      </c>
      <c r="BO798" t="s">
        <v>74</v>
      </c>
      <c r="BP798" t="s">
        <v>74</v>
      </c>
      <c r="BQ798" t="s">
        <v>74</v>
      </c>
      <c r="BR798" t="s">
        <v>100</v>
      </c>
      <c r="BS798" t="s">
        <v>11998</v>
      </c>
      <c r="BT798" t="str">
        <f>HYPERLINK("https%3A%2F%2Fwww.webofscience.com%2Fwos%2Fwoscc%2Ffull-record%2FWOS:000236309500010","View Full Record in Web of Science")</f>
        <v>View Full Record in Web of Science</v>
      </c>
    </row>
    <row r="799" spans="1:72" x14ac:dyDescent="0.15">
      <c r="A799" t="s">
        <v>72</v>
      </c>
      <c r="B799" t="s">
        <v>11999</v>
      </c>
      <c r="C799" t="s">
        <v>74</v>
      </c>
      <c r="D799" t="s">
        <v>74</v>
      </c>
      <c r="E799" t="s">
        <v>74</v>
      </c>
      <c r="F799" t="s">
        <v>11999</v>
      </c>
      <c r="G799" t="s">
        <v>74</v>
      </c>
      <c r="H799" t="s">
        <v>74</v>
      </c>
      <c r="I799" t="s">
        <v>12000</v>
      </c>
      <c r="J799" t="s">
        <v>2985</v>
      </c>
      <c r="K799" t="s">
        <v>74</v>
      </c>
      <c r="L799" t="s">
        <v>74</v>
      </c>
      <c r="M799" t="s">
        <v>78</v>
      </c>
      <c r="N799" t="s">
        <v>1226</v>
      </c>
      <c r="O799" t="s">
        <v>11982</v>
      </c>
      <c r="P799" t="s">
        <v>11983</v>
      </c>
      <c r="Q799" t="s">
        <v>11984</v>
      </c>
      <c r="R799" t="s">
        <v>74</v>
      </c>
      <c r="S799" t="s">
        <v>11985</v>
      </c>
      <c r="T799" t="s">
        <v>12001</v>
      </c>
      <c r="U799" t="s">
        <v>12002</v>
      </c>
      <c r="V799" t="s">
        <v>12003</v>
      </c>
      <c r="W799" t="s">
        <v>12004</v>
      </c>
      <c r="X799" t="s">
        <v>12005</v>
      </c>
      <c r="Y799" t="s">
        <v>9470</v>
      </c>
      <c r="Z799" t="s">
        <v>12006</v>
      </c>
      <c r="AA799" t="s">
        <v>12007</v>
      </c>
      <c r="AB799" t="s">
        <v>12008</v>
      </c>
      <c r="AC799" t="s">
        <v>74</v>
      </c>
      <c r="AD799" t="s">
        <v>74</v>
      </c>
      <c r="AE799" t="s">
        <v>74</v>
      </c>
      <c r="AF799" t="s">
        <v>74</v>
      </c>
      <c r="AG799">
        <v>39</v>
      </c>
      <c r="AH799">
        <v>36</v>
      </c>
      <c r="AI799">
        <v>38</v>
      </c>
      <c r="AJ799">
        <v>0</v>
      </c>
      <c r="AK799">
        <v>2</v>
      </c>
      <c r="AL799" t="s">
        <v>387</v>
      </c>
      <c r="AM799" t="s">
        <v>388</v>
      </c>
      <c r="AN799" t="s">
        <v>389</v>
      </c>
      <c r="AO799" t="s">
        <v>2996</v>
      </c>
      <c r="AP799" t="s">
        <v>2997</v>
      </c>
      <c r="AQ799" t="s">
        <v>74</v>
      </c>
      <c r="AR799" t="s">
        <v>2998</v>
      </c>
      <c r="AS799" t="s">
        <v>2999</v>
      </c>
      <c r="AT799" t="s">
        <v>11510</v>
      </c>
      <c r="AU799">
        <v>2006</v>
      </c>
      <c r="AV799">
        <v>68</v>
      </c>
      <c r="AW799" t="s">
        <v>11995</v>
      </c>
      <c r="AX799" t="s">
        <v>74</v>
      </c>
      <c r="AY799" t="s">
        <v>74</v>
      </c>
      <c r="AZ799" t="s">
        <v>74</v>
      </c>
      <c r="BA799" t="s">
        <v>74</v>
      </c>
      <c r="BB799">
        <v>418</v>
      </c>
      <c r="BC799">
        <v>435</v>
      </c>
      <c r="BD799" t="s">
        <v>74</v>
      </c>
      <c r="BE799" t="s">
        <v>12009</v>
      </c>
      <c r="BF799" t="str">
        <f>HYPERLINK("http://dx.doi.org/10.1016/j.jastp.2005.04.011","http://dx.doi.org/10.1016/j.jastp.2005.04.011")</f>
        <v>http://dx.doi.org/10.1016/j.jastp.2005.04.011</v>
      </c>
      <c r="BG799" t="s">
        <v>74</v>
      </c>
      <c r="BH799" t="s">
        <v>74</v>
      </c>
      <c r="BI799">
        <v>18</v>
      </c>
      <c r="BJ799" t="s">
        <v>3001</v>
      </c>
      <c r="BK799" t="s">
        <v>668</v>
      </c>
      <c r="BL799" t="s">
        <v>3001</v>
      </c>
      <c r="BM799" t="s">
        <v>11997</v>
      </c>
      <c r="BN799" t="s">
        <v>74</v>
      </c>
      <c r="BO799" t="s">
        <v>74</v>
      </c>
      <c r="BP799" t="s">
        <v>74</v>
      </c>
      <c r="BQ799" t="s">
        <v>74</v>
      </c>
      <c r="BR799" t="s">
        <v>100</v>
      </c>
      <c r="BS799" t="s">
        <v>12010</v>
      </c>
      <c r="BT799" t="str">
        <f>HYPERLINK("https%3A%2F%2Fwww.webofscience.com%2Fwos%2Fwoscc%2Ffull-record%2FWOS:000236309500015","View Full Record in Web of Science")</f>
        <v>View Full Record in Web of Science</v>
      </c>
    </row>
    <row r="800" spans="1:72" x14ac:dyDescent="0.15">
      <c r="A800" t="s">
        <v>72</v>
      </c>
      <c r="B800" t="s">
        <v>12011</v>
      </c>
      <c r="C800" t="s">
        <v>74</v>
      </c>
      <c r="D800" t="s">
        <v>74</v>
      </c>
      <c r="E800" t="s">
        <v>74</v>
      </c>
      <c r="F800" t="s">
        <v>12011</v>
      </c>
      <c r="G800" t="s">
        <v>74</v>
      </c>
      <c r="H800" t="s">
        <v>74</v>
      </c>
      <c r="I800" t="s">
        <v>12012</v>
      </c>
      <c r="J800" t="s">
        <v>2985</v>
      </c>
      <c r="K800" t="s">
        <v>74</v>
      </c>
      <c r="L800" t="s">
        <v>74</v>
      </c>
      <c r="M800" t="s">
        <v>78</v>
      </c>
      <c r="N800" t="s">
        <v>1226</v>
      </c>
      <c r="O800" t="s">
        <v>11982</v>
      </c>
      <c r="P800" t="s">
        <v>11983</v>
      </c>
      <c r="Q800" t="s">
        <v>11984</v>
      </c>
      <c r="R800" t="s">
        <v>74</v>
      </c>
      <c r="S800" t="s">
        <v>11985</v>
      </c>
      <c r="T800" t="s">
        <v>12013</v>
      </c>
      <c r="U800" t="s">
        <v>12014</v>
      </c>
      <c r="V800" t="s">
        <v>12015</v>
      </c>
      <c r="W800" t="s">
        <v>12016</v>
      </c>
      <c r="X800" t="s">
        <v>407</v>
      </c>
      <c r="Y800" t="s">
        <v>12017</v>
      </c>
      <c r="Z800" t="s">
        <v>12018</v>
      </c>
      <c r="AA800" t="s">
        <v>74</v>
      </c>
      <c r="AB800" t="s">
        <v>12019</v>
      </c>
      <c r="AC800" t="s">
        <v>12020</v>
      </c>
      <c r="AD800" t="s">
        <v>413</v>
      </c>
      <c r="AE800" t="s">
        <v>74</v>
      </c>
      <c r="AF800" t="s">
        <v>74</v>
      </c>
      <c r="AG800">
        <v>19</v>
      </c>
      <c r="AH800">
        <v>19</v>
      </c>
      <c r="AI800">
        <v>21</v>
      </c>
      <c r="AJ800">
        <v>0</v>
      </c>
      <c r="AK800">
        <v>0</v>
      </c>
      <c r="AL800" t="s">
        <v>387</v>
      </c>
      <c r="AM800" t="s">
        <v>388</v>
      </c>
      <c r="AN800" t="s">
        <v>389</v>
      </c>
      <c r="AO800" t="s">
        <v>2996</v>
      </c>
      <c r="AP800" t="s">
        <v>2997</v>
      </c>
      <c r="AQ800" t="s">
        <v>74</v>
      </c>
      <c r="AR800" t="s">
        <v>2998</v>
      </c>
      <c r="AS800" t="s">
        <v>2999</v>
      </c>
      <c r="AT800" t="s">
        <v>11510</v>
      </c>
      <c r="AU800">
        <v>2006</v>
      </c>
      <c r="AV800">
        <v>68</v>
      </c>
      <c r="AW800" t="s">
        <v>11995</v>
      </c>
      <c r="AX800" t="s">
        <v>74</v>
      </c>
      <c r="AY800" t="s">
        <v>74</v>
      </c>
      <c r="AZ800" t="s">
        <v>74</v>
      </c>
      <c r="BA800" t="s">
        <v>74</v>
      </c>
      <c r="BB800">
        <v>436</v>
      </c>
      <c r="BC800">
        <v>444</v>
      </c>
      <c r="BD800" t="s">
        <v>74</v>
      </c>
      <c r="BE800" t="s">
        <v>12021</v>
      </c>
      <c r="BF800" t="str">
        <f>HYPERLINK("http://dx.doi.org/10.1016/j.jastp.2005.02.030","http://dx.doi.org/10.1016/j.jastp.2005.02.030")</f>
        <v>http://dx.doi.org/10.1016/j.jastp.2005.02.030</v>
      </c>
      <c r="BG800" t="s">
        <v>74</v>
      </c>
      <c r="BH800" t="s">
        <v>74</v>
      </c>
      <c r="BI800">
        <v>9</v>
      </c>
      <c r="BJ800" t="s">
        <v>3001</v>
      </c>
      <c r="BK800" t="s">
        <v>668</v>
      </c>
      <c r="BL800" t="s">
        <v>3001</v>
      </c>
      <c r="BM800" t="s">
        <v>11997</v>
      </c>
      <c r="BN800" t="s">
        <v>74</v>
      </c>
      <c r="BO800" t="s">
        <v>74</v>
      </c>
      <c r="BP800" t="s">
        <v>74</v>
      </c>
      <c r="BQ800" t="s">
        <v>74</v>
      </c>
      <c r="BR800" t="s">
        <v>100</v>
      </c>
      <c r="BS800" t="s">
        <v>12022</v>
      </c>
      <c r="BT800" t="str">
        <f>HYPERLINK("https%3A%2F%2Fwww.webofscience.com%2Fwos%2Fwoscc%2Ffull-record%2FWOS:000236309500016","View Full Record in Web of Science")</f>
        <v>View Full Record in Web of Science</v>
      </c>
    </row>
    <row r="801" spans="1:72" x14ac:dyDescent="0.15">
      <c r="A801" t="s">
        <v>72</v>
      </c>
      <c r="B801" t="s">
        <v>12023</v>
      </c>
      <c r="C801" t="s">
        <v>74</v>
      </c>
      <c r="D801" t="s">
        <v>74</v>
      </c>
      <c r="E801" t="s">
        <v>74</v>
      </c>
      <c r="F801" t="s">
        <v>12023</v>
      </c>
      <c r="G801" t="s">
        <v>74</v>
      </c>
      <c r="H801" t="s">
        <v>74</v>
      </c>
      <c r="I801" t="s">
        <v>12024</v>
      </c>
      <c r="J801" t="s">
        <v>12025</v>
      </c>
      <c r="K801" t="s">
        <v>74</v>
      </c>
      <c r="L801" t="s">
        <v>74</v>
      </c>
      <c r="M801" t="s">
        <v>78</v>
      </c>
      <c r="N801" t="s">
        <v>79</v>
      </c>
      <c r="O801" t="s">
        <v>74</v>
      </c>
      <c r="P801" t="s">
        <v>74</v>
      </c>
      <c r="Q801" t="s">
        <v>74</v>
      </c>
      <c r="R801" t="s">
        <v>74</v>
      </c>
      <c r="S801" t="s">
        <v>74</v>
      </c>
      <c r="T801" t="s">
        <v>12026</v>
      </c>
      <c r="U801" t="s">
        <v>12027</v>
      </c>
      <c r="V801" t="s">
        <v>12028</v>
      </c>
      <c r="W801" t="s">
        <v>12029</v>
      </c>
      <c r="X801" t="s">
        <v>12030</v>
      </c>
      <c r="Y801" t="s">
        <v>12031</v>
      </c>
      <c r="Z801" t="s">
        <v>12032</v>
      </c>
      <c r="AA801" t="s">
        <v>12033</v>
      </c>
      <c r="AB801" t="s">
        <v>74</v>
      </c>
      <c r="AC801" t="s">
        <v>74</v>
      </c>
      <c r="AD801" t="s">
        <v>74</v>
      </c>
      <c r="AE801" t="s">
        <v>74</v>
      </c>
      <c r="AF801" t="s">
        <v>74</v>
      </c>
      <c r="AG801">
        <v>21</v>
      </c>
      <c r="AH801">
        <v>7</v>
      </c>
      <c r="AI801">
        <v>9</v>
      </c>
      <c r="AJ801">
        <v>0</v>
      </c>
      <c r="AK801">
        <v>2</v>
      </c>
      <c r="AL801" t="s">
        <v>136</v>
      </c>
      <c r="AM801" t="s">
        <v>137</v>
      </c>
      <c r="AN801" t="s">
        <v>138</v>
      </c>
      <c r="AO801" t="s">
        <v>12034</v>
      </c>
      <c r="AP801" t="s">
        <v>12035</v>
      </c>
      <c r="AQ801" t="s">
        <v>74</v>
      </c>
      <c r="AR801" t="s">
        <v>12036</v>
      </c>
      <c r="AS801" t="s">
        <v>12037</v>
      </c>
      <c r="AT801" t="s">
        <v>11510</v>
      </c>
      <c r="AU801">
        <v>2006</v>
      </c>
      <c r="AV801">
        <v>21</v>
      </c>
      <c r="AW801">
        <v>1</v>
      </c>
      <c r="AX801" t="s">
        <v>74</v>
      </c>
      <c r="AY801" t="s">
        <v>74</v>
      </c>
      <c r="AZ801" t="s">
        <v>74</v>
      </c>
      <c r="BA801" t="s">
        <v>74</v>
      </c>
      <c r="BB801">
        <v>55</v>
      </c>
      <c r="BC801">
        <v>60</v>
      </c>
      <c r="BD801" t="s">
        <v>74</v>
      </c>
      <c r="BE801" t="s">
        <v>12038</v>
      </c>
      <c r="BF801" t="str">
        <f>HYPERLINK("http://dx.doi.org/10.1080/14756360500148791","http://dx.doi.org/10.1080/14756360500148791")</f>
        <v>http://dx.doi.org/10.1080/14756360500148791</v>
      </c>
      <c r="BG801" t="s">
        <v>74</v>
      </c>
      <c r="BH801" t="s">
        <v>74</v>
      </c>
      <c r="BI801">
        <v>6</v>
      </c>
      <c r="BJ801" t="s">
        <v>12039</v>
      </c>
      <c r="BK801" t="s">
        <v>97</v>
      </c>
      <c r="BL801" t="s">
        <v>12040</v>
      </c>
      <c r="BM801" t="s">
        <v>12041</v>
      </c>
      <c r="BN801">
        <v>16570506</v>
      </c>
      <c r="BO801" t="s">
        <v>74</v>
      </c>
      <c r="BP801" t="s">
        <v>74</v>
      </c>
      <c r="BQ801" t="s">
        <v>74</v>
      </c>
      <c r="BR801" t="s">
        <v>100</v>
      </c>
      <c r="BS801" t="s">
        <v>12042</v>
      </c>
      <c r="BT801" t="str">
        <f>HYPERLINK("https%3A%2F%2Fwww.webofscience.com%2Fwos%2Fwoscc%2Ffull-record%2FWOS:000236146500008","View Full Record in Web of Science")</f>
        <v>View Full Record in Web of Science</v>
      </c>
    </row>
    <row r="802" spans="1:72" x14ac:dyDescent="0.15">
      <c r="A802" t="s">
        <v>72</v>
      </c>
      <c r="B802" t="s">
        <v>12043</v>
      </c>
      <c r="C802" t="s">
        <v>74</v>
      </c>
      <c r="D802" t="s">
        <v>74</v>
      </c>
      <c r="E802" t="s">
        <v>74</v>
      </c>
      <c r="F802" t="s">
        <v>12043</v>
      </c>
      <c r="G802" t="s">
        <v>74</v>
      </c>
      <c r="H802" t="s">
        <v>74</v>
      </c>
      <c r="I802" t="s">
        <v>12044</v>
      </c>
      <c r="J802" t="s">
        <v>5351</v>
      </c>
      <c r="K802" t="s">
        <v>74</v>
      </c>
      <c r="L802" t="s">
        <v>74</v>
      </c>
      <c r="M802" t="s">
        <v>78</v>
      </c>
      <c r="N802" t="s">
        <v>79</v>
      </c>
      <c r="O802" t="s">
        <v>74</v>
      </c>
      <c r="P802" t="s">
        <v>74</v>
      </c>
      <c r="Q802" t="s">
        <v>74</v>
      </c>
      <c r="R802" t="s">
        <v>74</v>
      </c>
      <c r="S802" t="s">
        <v>74</v>
      </c>
      <c r="T802" t="s">
        <v>12045</v>
      </c>
      <c r="U802" t="s">
        <v>12046</v>
      </c>
      <c r="V802" t="s">
        <v>12047</v>
      </c>
      <c r="W802" t="s">
        <v>12048</v>
      </c>
      <c r="X802" t="s">
        <v>12049</v>
      </c>
      <c r="Y802" t="s">
        <v>12050</v>
      </c>
      <c r="Z802" t="s">
        <v>12051</v>
      </c>
      <c r="AA802" t="s">
        <v>74</v>
      </c>
      <c r="AB802" t="s">
        <v>12052</v>
      </c>
      <c r="AC802" t="s">
        <v>74</v>
      </c>
      <c r="AD802" t="s">
        <v>74</v>
      </c>
      <c r="AE802" t="s">
        <v>74</v>
      </c>
      <c r="AF802" t="s">
        <v>74</v>
      </c>
      <c r="AG802">
        <v>51</v>
      </c>
      <c r="AH802">
        <v>98</v>
      </c>
      <c r="AI802">
        <v>104</v>
      </c>
      <c r="AJ802">
        <v>2</v>
      </c>
      <c r="AK802">
        <v>35</v>
      </c>
      <c r="AL802" t="s">
        <v>12053</v>
      </c>
      <c r="AM802" t="s">
        <v>5362</v>
      </c>
      <c r="AN802" t="s">
        <v>12054</v>
      </c>
      <c r="AO802" t="s">
        <v>5364</v>
      </c>
      <c r="AP802" t="s">
        <v>5365</v>
      </c>
      <c r="AQ802" t="s">
        <v>74</v>
      </c>
      <c r="AR802" t="s">
        <v>5366</v>
      </c>
      <c r="AS802" t="s">
        <v>5367</v>
      </c>
      <c r="AT802" t="s">
        <v>11510</v>
      </c>
      <c r="AU802">
        <v>2006</v>
      </c>
      <c r="AV802">
        <v>209</v>
      </c>
      <c r="AW802">
        <v>3</v>
      </c>
      <c r="AX802" t="s">
        <v>74</v>
      </c>
      <c r="AY802" t="s">
        <v>74</v>
      </c>
      <c r="AZ802" t="s">
        <v>74</v>
      </c>
      <c r="BA802" t="s">
        <v>74</v>
      </c>
      <c r="BB802">
        <v>399</v>
      </c>
      <c r="BC802">
        <v>406</v>
      </c>
      <c r="BD802" t="s">
        <v>74</v>
      </c>
      <c r="BE802" t="s">
        <v>12055</v>
      </c>
      <c r="BF802" t="str">
        <f>HYPERLINK("http://dx.doi.org/10.1242/jeb.02001","http://dx.doi.org/10.1242/jeb.02001")</f>
        <v>http://dx.doi.org/10.1242/jeb.02001</v>
      </c>
      <c r="BG802" t="s">
        <v>74</v>
      </c>
      <c r="BH802" t="s">
        <v>74</v>
      </c>
      <c r="BI802">
        <v>8</v>
      </c>
      <c r="BJ802" t="s">
        <v>5369</v>
      </c>
      <c r="BK802" t="s">
        <v>97</v>
      </c>
      <c r="BL802" t="s">
        <v>5370</v>
      </c>
      <c r="BM802" t="s">
        <v>12056</v>
      </c>
      <c r="BN802">
        <v>16424090</v>
      </c>
      <c r="BO802" t="s">
        <v>460</v>
      </c>
      <c r="BP802" t="s">
        <v>74</v>
      </c>
      <c r="BQ802" t="s">
        <v>74</v>
      </c>
      <c r="BR802" t="s">
        <v>100</v>
      </c>
      <c r="BS802" t="s">
        <v>12057</v>
      </c>
      <c r="BT802" t="str">
        <f>HYPERLINK("https%3A%2F%2Fwww.webofscience.com%2Fwos%2Fwoscc%2Ffull-record%2FWOS:000235793500011","View Full Record in Web of Science")</f>
        <v>View Full Record in Web of Science</v>
      </c>
    </row>
    <row r="803" spans="1:72" x14ac:dyDescent="0.15">
      <c r="A803" t="s">
        <v>72</v>
      </c>
      <c r="B803" t="s">
        <v>12058</v>
      </c>
      <c r="C803" t="s">
        <v>74</v>
      </c>
      <c r="D803" t="s">
        <v>74</v>
      </c>
      <c r="E803" t="s">
        <v>74</v>
      </c>
      <c r="F803" t="s">
        <v>12058</v>
      </c>
      <c r="G803" t="s">
        <v>74</v>
      </c>
      <c r="H803" t="s">
        <v>74</v>
      </c>
      <c r="I803" t="s">
        <v>12059</v>
      </c>
      <c r="J803" t="s">
        <v>5351</v>
      </c>
      <c r="K803" t="s">
        <v>74</v>
      </c>
      <c r="L803" t="s">
        <v>74</v>
      </c>
      <c r="M803" t="s">
        <v>78</v>
      </c>
      <c r="N803" t="s">
        <v>79</v>
      </c>
      <c r="O803" t="s">
        <v>74</v>
      </c>
      <c r="P803" t="s">
        <v>74</v>
      </c>
      <c r="Q803" t="s">
        <v>74</v>
      </c>
      <c r="R803" t="s">
        <v>74</v>
      </c>
      <c r="S803" t="s">
        <v>74</v>
      </c>
      <c r="T803" t="s">
        <v>12060</v>
      </c>
      <c r="U803" t="s">
        <v>12061</v>
      </c>
      <c r="V803" t="s">
        <v>12062</v>
      </c>
      <c r="W803" t="s">
        <v>2585</v>
      </c>
      <c r="X803" t="s">
        <v>2586</v>
      </c>
      <c r="Y803" t="s">
        <v>12063</v>
      </c>
      <c r="Z803" t="s">
        <v>2588</v>
      </c>
      <c r="AA803" t="s">
        <v>2589</v>
      </c>
      <c r="AB803" t="s">
        <v>2590</v>
      </c>
      <c r="AC803" t="s">
        <v>74</v>
      </c>
      <c r="AD803" t="s">
        <v>74</v>
      </c>
      <c r="AE803" t="s">
        <v>74</v>
      </c>
      <c r="AF803" t="s">
        <v>74</v>
      </c>
      <c r="AG803">
        <v>64</v>
      </c>
      <c r="AH803">
        <v>43</v>
      </c>
      <c r="AI803">
        <v>51</v>
      </c>
      <c r="AJ803">
        <v>0</v>
      </c>
      <c r="AK803">
        <v>72</v>
      </c>
      <c r="AL803" t="s">
        <v>5361</v>
      </c>
      <c r="AM803" t="s">
        <v>5362</v>
      </c>
      <c r="AN803" t="s">
        <v>5363</v>
      </c>
      <c r="AO803" t="s">
        <v>5364</v>
      </c>
      <c r="AP803" t="s">
        <v>5365</v>
      </c>
      <c r="AQ803" t="s">
        <v>74</v>
      </c>
      <c r="AR803" t="s">
        <v>5366</v>
      </c>
      <c r="AS803" t="s">
        <v>5367</v>
      </c>
      <c r="AT803" t="s">
        <v>11510</v>
      </c>
      <c r="AU803">
        <v>2006</v>
      </c>
      <c r="AV803">
        <v>209</v>
      </c>
      <c r="AW803">
        <v>3</v>
      </c>
      <c r="AX803" t="s">
        <v>74</v>
      </c>
      <c r="AY803" t="s">
        <v>74</v>
      </c>
      <c r="AZ803" t="s">
        <v>74</v>
      </c>
      <c r="BA803" t="s">
        <v>74</v>
      </c>
      <c r="BB803">
        <v>407</v>
      </c>
      <c r="BC803">
        <v>420</v>
      </c>
      <c r="BD803" t="s">
        <v>74</v>
      </c>
      <c r="BE803" t="s">
        <v>12064</v>
      </c>
      <c r="BF803" t="str">
        <f>HYPERLINK("http://dx.doi.org/10.1242/jeb.02008","http://dx.doi.org/10.1242/jeb.02008")</f>
        <v>http://dx.doi.org/10.1242/jeb.02008</v>
      </c>
      <c r="BG803" t="s">
        <v>74</v>
      </c>
      <c r="BH803" t="s">
        <v>74</v>
      </c>
      <c r="BI803">
        <v>14</v>
      </c>
      <c r="BJ803" t="s">
        <v>5369</v>
      </c>
      <c r="BK803" t="s">
        <v>97</v>
      </c>
      <c r="BL803" t="s">
        <v>5370</v>
      </c>
      <c r="BM803" t="s">
        <v>12056</v>
      </c>
      <c r="BN803">
        <v>16424091</v>
      </c>
      <c r="BO803" t="s">
        <v>74</v>
      </c>
      <c r="BP803" t="s">
        <v>74</v>
      </c>
      <c r="BQ803" t="s">
        <v>74</v>
      </c>
      <c r="BR803" t="s">
        <v>100</v>
      </c>
      <c r="BS803" t="s">
        <v>12065</v>
      </c>
      <c r="BT803" t="str">
        <f>HYPERLINK("https%3A%2F%2Fwww.webofscience.com%2Fwos%2Fwoscc%2Ffull-record%2FWOS:000235793500012","View Full Record in Web of Science")</f>
        <v>View Full Record in Web of Science</v>
      </c>
    </row>
    <row r="804" spans="1:72" x14ac:dyDescent="0.15">
      <c r="A804" t="s">
        <v>72</v>
      </c>
      <c r="B804" t="s">
        <v>12066</v>
      </c>
      <c r="C804" t="s">
        <v>74</v>
      </c>
      <c r="D804" t="s">
        <v>74</v>
      </c>
      <c r="E804" t="s">
        <v>74</v>
      </c>
      <c r="F804" t="s">
        <v>12066</v>
      </c>
      <c r="G804" t="s">
        <v>74</v>
      </c>
      <c r="H804" t="s">
        <v>74</v>
      </c>
      <c r="I804" t="s">
        <v>12067</v>
      </c>
      <c r="J804" t="s">
        <v>3062</v>
      </c>
      <c r="K804" t="s">
        <v>74</v>
      </c>
      <c r="L804" t="s">
        <v>74</v>
      </c>
      <c r="M804" t="s">
        <v>78</v>
      </c>
      <c r="N804" t="s">
        <v>52</v>
      </c>
      <c r="O804" t="s">
        <v>12068</v>
      </c>
      <c r="P804" t="s">
        <v>12069</v>
      </c>
      <c r="Q804" t="s">
        <v>12070</v>
      </c>
      <c r="R804" t="s">
        <v>74</v>
      </c>
      <c r="S804" t="s">
        <v>74</v>
      </c>
      <c r="T804" t="s">
        <v>74</v>
      </c>
      <c r="U804" t="s">
        <v>74</v>
      </c>
      <c r="V804" t="s">
        <v>74</v>
      </c>
      <c r="W804" t="s">
        <v>2334</v>
      </c>
      <c r="X804" t="s">
        <v>407</v>
      </c>
      <c r="Y804" t="s">
        <v>74</v>
      </c>
      <c r="Z804" t="s">
        <v>12071</v>
      </c>
      <c r="AA804" t="s">
        <v>12072</v>
      </c>
      <c r="AB804" t="s">
        <v>12073</v>
      </c>
      <c r="AC804" t="s">
        <v>74</v>
      </c>
      <c r="AD804" t="s">
        <v>74</v>
      </c>
      <c r="AE804" t="s">
        <v>74</v>
      </c>
      <c r="AF804" t="s">
        <v>74</v>
      </c>
      <c r="AG804">
        <v>0</v>
      </c>
      <c r="AH804">
        <v>0</v>
      </c>
      <c r="AI804">
        <v>0</v>
      </c>
      <c r="AJ804">
        <v>0</v>
      </c>
      <c r="AK804">
        <v>2</v>
      </c>
      <c r="AL804" t="s">
        <v>115</v>
      </c>
      <c r="AM804" t="s">
        <v>116</v>
      </c>
      <c r="AN804" t="s">
        <v>117</v>
      </c>
      <c r="AO804" t="s">
        <v>3069</v>
      </c>
      <c r="AP804" t="s">
        <v>74</v>
      </c>
      <c r="AQ804" t="s">
        <v>74</v>
      </c>
      <c r="AR804" t="s">
        <v>3070</v>
      </c>
      <c r="AS804" t="s">
        <v>3071</v>
      </c>
      <c r="AT804" t="s">
        <v>12074</v>
      </c>
      <c r="AU804">
        <v>2006</v>
      </c>
      <c r="AV804" t="s">
        <v>3072</v>
      </c>
      <c r="AW804">
        <v>2</v>
      </c>
      <c r="AX804" t="s">
        <v>74</v>
      </c>
      <c r="AY804" t="s">
        <v>74</v>
      </c>
      <c r="AZ804" t="s">
        <v>74</v>
      </c>
      <c r="BA804" t="s">
        <v>74</v>
      </c>
      <c r="BB804">
        <v>115</v>
      </c>
      <c r="BC804">
        <v>115</v>
      </c>
      <c r="BD804" t="s">
        <v>74</v>
      </c>
      <c r="BE804" t="s">
        <v>74</v>
      </c>
      <c r="BF804" t="s">
        <v>74</v>
      </c>
      <c r="BG804" t="s">
        <v>74</v>
      </c>
      <c r="BH804" t="s">
        <v>74</v>
      </c>
      <c r="BI804">
        <v>1</v>
      </c>
      <c r="BJ804" t="s">
        <v>1000</v>
      </c>
      <c r="BK804" t="s">
        <v>668</v>
      </c>
      <c r="BL804" t="s">
        <v>1000</v>
      </c>
      <c r="BM804" t="s">
        <v>12075</v>
      </c>
      <c r="BN804" t="s">
        <v>74</v>
      </c>
      <c r="BO804" t="s">
        <v>74</v>
      </c>
      <c r="BP804" t="s">
        <v>74</v>
      </c>
      <c r="BQ804" t="s">
        <v>74</v>
      </c>
      <c r="BR804" t="s">
        <v>100</v>
      </c>
      <c r="BS804" t="s">
        <v>12076</v>
      </c>
      <c r="BT804" t="str">
        <f>HYPERLINK("https%3A%2F%2Fwww.webofscience.com%2Fwos%2Fwoscc%2Ffull-record%2FWOS:000235344400035","View Full Record in Web of Science")</f>
        <v>View Full Record in Web of Science</v>
      </c>
    </row>
    <row r="805" spans="1:72" x14ac:dyDescent="0.15">
      <c r="A805" t="s">
        <v>72</v>
      </c>
      <c r="B805" t="s">
        <v>12077</v>
      </c>
      <c r="C805" t="s">
        <v>74</v>
      </c>
      <c r="D805" t="s">
        <v>74</v>
      </c>
      <c r="E805" t="s">
        <v>74</v>
      </c>
      <c r="F805" t="s">
        <v>12077</v>
      </c>
      <c r="G805" t="s">
        <v>74</v>
      </c>
      <c r="H805" t="s">
        <v>74</v>
      </c>
      <c r="I805" t="s">
        <v>12078</v>
      </c>
      <c r="J805" t="s">
        <v>12079</v>
      </c>
      <c r="K805" t="s">
        <v>74</v>
      </c>
      <c r="L805" t="s">
        <v>74</v>
      </c>
      <c r="M805" t="s">
        <v>78</v>
      </c>
      <c r="N805" t="s">
        <v>79</v>
      </c>
      <c r="O805" t="s">
        <v>74</v>
      </c>
      <c r="P805" t="s">
        <v>74</v>
      </c>
      <c r="Q805" t="s">
        <v>74</v>
      </c>
      <c r="R805" t="s">
        <v>74</v>
      </c>
      <c r="S805" t="s">
        <v>74</v>
      </c>
      <c r="T805" t="s">
        <v>12080</v>
      </c>
      <c r="U805" t="s">
        <v>12081</v>
      </c>
      <c r="V805" t="s">
        <v>12082</v>
      </c>
      <c r="W805" t="s">
        <v>12083</v>
      </c>
      <c r="X805" t="s">
        <v>12084</v>
      </c>
      <c r="Y805" t="s">
        <v>12085</v>
      </c>
      <c r="Z805" t="s">
        <v>12086</v>
      </c>
      <c r="AA805" t="s">
        <v>12087</v>
      </c>
      <c r="AB805" t="s">
        <v>12088</v>
      </c>
      <c r="AC805" t="s">
        <v>74</v>
      </c>
      <c r="AD805" t="s">
        <v>74</v>
      </c>
      <c r="AE805" t="s">
        <v>74</v>
      </c>
      <c r="AF805" t="s">
        <v>74</v>
      </c>
      <c r="AG805">
        <v>52</v>
      </c>
      <c r="AH805">
        <v>9</v>
      </c>
      <c r="AI805">
        <v>10</v>
      </c>
      <c r="AJ805">
        <v>0</v>
      </c>
      <c r="AK805">
        <v>23</v>
      </c>
      <c r="AL805" t="s">
        <v>994</v>
      </c>
      <c r="AM805" t="s">
        <v>476</v>
      </c>
      <c r="AN805" t="s">
        <v>1551</v>
      </c>
      <c r="AO805" t="s">
        <v>12089</v>
      </c>
      <c r="AP805" t="s">
        <v>12090</v>
      </c>
      <c r="AQ805" t="s">
        <v>74</v>
      </c>
      <c r="AR805" t="s">
        <v>12091</v>
      </c>
      <c r="AS805" t="s">
        <v>12092</v>
      </c>
      <c r="AT805" t="s">
        <v>11510</v>
      </c>
      <c r="AU805">
        <v>2006</v>
      </c>
      <c r="AV805">
        <v>62</v>
      </c>
      <c r="AW805">
        <v>2</v>
      </c>
      <c r="AX805" t="s">
        <v>74</v>
      </c>
      <c r="AY805" t="s">
        <v>74</v>
      </c>
      <c r="AZ805" t="s">
        <v>74</v>
      </c>
      <c r="BA805" t="s">
        <v>74</v>
      </c>
      <c r="BB805">
        <v>176</v>
      </c>
      <c r="BC805">
        <v>195</v>
      </c>
      <c r="BD805" t="s">
        <v>74</v>
      </c>
      <c r="BE805" t="s">
        <v>12093</v>
      </c>
      <c r="BF805" t="str">
        <f>HYPERLINK("http://dx.doi.org/10.1007/s00239-004-0334-y","http://dx.doi.org/10.1007/s00239-004-0334-y")</f>
        <v>http://dx.doi.org/10.1007/s00239-004-0334-y</v>
      </c>
      <c r="BG805" t="s">
        <v>74</v>
      </c>
      <c r="BH805" t="s">
        <v>74</v>
      </c>
      <c r="BI805">
        <v>20</v>
      </c>
      <c r="BJ805" t="s">
        <v>7193</v>
      </c>
      <c r="BK805" t="s">
        <v>97</v>
      </c>
      <c r="BL805" t="s">
        <v>7193</v>
      </c>
      <c r="BM805" t="s">
        <v>12094</v>
      </c>
      <c r="BN805">
        <v>16416019</v>
      </c>
      <c r="BO805" t="s">
        <v>74</v>
      </c>
      <c r="BP805" t="s">
        <v>74</v>
      </c>
      <c r="BQ805" t="s">
        <v>74</v>
      </c>
      <c r="BR805" t="s">
        <v>100</v>
      </c>
      <c r="BS805" t="s">
        <v>12095</v>
      </c>
      <c r="BT805" t="str">
        <f>HYPERLINK("https%3A%2F%2Fwww.webofscience.com%2Fwos%2Fwoscc%2Ffull-record%2FWOS:000235866300006","View Full Record in Web of Science")</f>
        <v>View Full Record in Web of Science</v>
      </c>
    </row>
    <row r="806" spans="1:72" x14ac:dyDescent="0.15">
      <c r="A806" t="s">
        <v>72</v>
      </c>
      <c r="B806" t="s">
        <v>12096</v>
      </c>
      <c r="C806" t="s">
        <v>74</v>
      </c>
      <c r="D806" t="s">
        <v>74</v>
      </c>
      <c r="E806" t="s">
        <v>74</v>
      </c>
      <c r="F806" t="s">
        <v>12096</v>
      </c>
      <c r="G806" t="s">
        <v>74</v>
      </c>
      <c r="H806" t="s">
        <v>74</v>
      </c>
      <c r="I806" t="s">
        <v>12097</v>
      </c>
      <c r="J806" t="s">
        <v>12098</v>
      </c>
      <c r="K806" t="s">
        <v>74</v>
      </c>
      <c r="L806" t="s">
        <v>74</v>
      </c>
      <c r="M806" t="s">
        <v>78</v>
      </c>
      <c r="N806" t="s">
        <v>79</v>
      </c>
      <c r="O806" t="s">
        <v>74</v>
      </c>
      <c r="P806" t="s">
        <v>74</v>
      </c>
      <c r="Q806" t="s">
        <v>74</v>
      </c>
      <c r="R806" t="s">
        <v>74</v>
      </c>
      <c r="S806" t="s">
        <v>74</v>
      </c>
      <c r="T806" t="s">
        <v>12099</v>
      </c>
      <c r="U806" t="s">
        <v>12100</v>
      </c>
      <c r="V806" t="s">
        <v>12101</v>
      </c>
      <c r="W806" t="s">
        <v>12102</v>
      </c>
      <c r="X806" t="s">
        <v>12103</v>
      </c>
      <c r="Y806" t="s">
        <v>7528</v>
      </c>
      <c r="Z806" t="s">
        <v>12104</v>
      </c>
      <c r="AA806" t="s">
        <v>12105</v>
      </c>
      <c r="AB806" t="s">
        <v>12106</v>
      </c>
      <c r="AC806" t="s">
        <v>12107</v>
      </c>
      <c r="AD806" t="s">
        <v>413</v>
      </c>
      <c r="AE806" t="s">
        <v>74</v>
      </c>
      <c r="AF806" t="s">
        <v>74</v>
      </c>
      <c r="AG806">
        <v>90</v>
      </c>
      <c r="AH806">
        <v>48</v>
      </c>
      <c r="AI806">
        <v>51</v>
      </c>
      <c r="AJ806">
        <v>1</v>
      </c>
      <c r="AK806">
        <v>11</v>
      </c>
      <c r="AL806" t="s">
        <v>994</v>
      </c>
      <c r="AM806" t="s">
        <v>4805</v>
      </c>
      <c r="AN806" t="s">
        <v>4806</v>
      </c>
      <c r="AO806" t="s">
        <v>12108</v>
      </c>
      <c r="AP806" t="s">
        <v>12109</v>
      </c>
      <c r="AQ806" t="s">
        <v>74</v>
      </c>
      <c r="AR806" t="s">
        <v>12110</v>
      </c>
      <c r="AS806" t="s">
        <v>12111</v>
      </c>
      <c r="AT806" t="s">
        <v>11510</v>
      </c>
      <c r="AU806">
        <v>2006</v>
      </c>
      <c r="AV806">
        <v>35</v>
      </c>
      <c r="AW806">
        <v>2</v>
      </c>
      <c r="AX806" t="s">
        <v>74</v>
      </c>
      <c r="AY806" t="s">
        <v>74</v>
      </c>
      <c r="AZ806" t="s">
        <v>74</v>
      </c>
      <c r="BA806" t="s">
        <v>74</v>
      </c>
      <c r="BB806">
        <v>373</v>
      </c>
      <c r="BC806">
        <v>394</v>
      </c>
      <c r="BD806" t="s">
        <v>74</v>
      </c>
      <c r="BE806" t="s">
        <v>12112</v>
      </c>
      <c r="BF806" t="str">
        <f>HYPERLINK("http://dx.doi.org/10.1007/s10933-005-1333-8","http://dx.doi.org/10.1007/s10933-005-1333-8")</f>
        <v>http://dx.doi.org/10.1007/s10933-005-1333-8</v>
      </c>
      <c r="BG806" t="s">
        <v>74</v>
      </c>
      <c r="BH806" t="s">
        <v>74</v>
      </c>
      <c r="BI806">
        <v>22</v>
      </c>
      <c r="BJ806" t="s">
        <v>12113</v>
      </c>
      <c r="BK806" t="s">
        <v>97</v>
      </c>
      <c r="BL806" t="s">
        <v>12114</v>
      </c>
      <c r="BM806" t="s">
        <v>12115</v>
      </c>
      <c r="BN806" t="s">
        <v>74</v>
      </c>
      <c r="BO806" t="s">
        <v>74</v>
      </c>
      <c r="BP806" t="s">
        <v>74</v>
      </c>
      <c r="BQ806" t="s">
        <v>74</v>
      </c>
      <c r="BR806" t="s">
        <v>100</v>
      </c>
      <c r="BS806" t="s">
        <v>12116</v>
      </c>
      <c r="BT806" t="str">
        <f>HYPERLINK("https%3A%2F%2Fwww.webofscience.com%2Fwos%2Fwoscc%2Ffull-record%2FWOS:000234730300009","View Full Record in Web of Science")</f>
        <v>View Full Record in Web of Science</v>
      </c>
    </row>
    <row r="807" spans="1:72" x14ac:dyDescent="0.15">
      <c r="A807" t="s">
        <v>72</v>
      </c>
      <c r="B807" t="s">
        <v>12117</v>
      </c>
      <c r="C807" t="s">
        <v>74</v>
      </c>
      <c r="D807" t="s">
        <v>74</v>
      </c>
      <c r="E807" t="s">
        <v>74</v>
      </c>
      <c r="F807" t="s">
        <v>12117</v>
      </c>
      <c r="G807" t="s">
        <v>74</v>
      </c>
      <c r="H807" t="s">
        <v>74</v>
      </c>
      <c r="I807" t="s">
        <v>12118</v>
      </c>
      <c r="J807" t="s">
        <v>8654</v>
      </c>
      <c r="K807" t="s">
        <v>74</v>
      </c>
      <c r="L807" t="s">
        <v>74</v>
      </c>
      <c r="M807" t="s">
        <v>78</v>
      </c>
      <c r="N807" t="s">
        <v>79</v>
      </c>
      <c r="O807" t="s">
        <v>74</v>
      </c>
      <c r="P807" t="s">
        <v>74</v>
      </c>
      <c r="Q807" t="s">
        <v>74</v>
      </c>
      <c r="R807" t="s">
        <v>74</v>
      </c>
      <c r="S807" t="s">
        <v>74</v>
      </c>
      <c r="T807" t="s">
        <v>12119</v>
      </c>
      <c r="U807" t="s">
        <v>12120</v>
      </c>
      <c r="V807" t="s">
        <v>12121</v>
      </c>
      <c r="W807" t="s">
        <v>12122</v>
      </c>
      <c r="X807" t="s">
        <v>12123</v>
      </c>
      <c r="Y807" t="s">
        <v>12124</v>
      </c>
      <c r="Z807" t="s">
        <v>12125</v>
      </c>
      <c r="AA807" t="s">
        <v>12126</v>
      </c>
      <c r="AB807" t="s">
        <v>12127</v>
      </c>
      <c r="AC807" t="s">
        <v>74</v>
      </c>
      <c r="AD807" t="s">
        <v>74</v>
      </c>
      <c r="AE807" t="s">
        <v>74</v>
      </c>
      <c r="AF807" t="s">
        <v>74</v>
      </c>
      <c r="AG807">
        <v>41</v>
      </c>
      <c r="AH807">
        <v>36</v>
      </c>
      <c r="AI807">
        <v>45</v>
      </c>
      <c r="AJ807">
        <v>1</v>
      </c>
      <c r="AK807">
        <v>16</v>
      </c>
      <c r="AL807" t="s">
        <v>115</v>
      </c>
      <c r="AM807" t="s">
        <v>116</v>
      </c>
      <c r="AN807" t="s">
        <v>117</v>
      </c>
      <c r="AO807" t="s">
        <v>8656</v>
      </c>
      <c r="AP807" t="s">
        <v>12128</v>
      </c>
      <c r="AQ807" t="s">
        <v>74</v>
      </c>
      <c r="AR807" t="s">
        <v>8657</v>
      </c>
      <c r="AS807" t="s">
        <v>8658</v>
      </c>
      <c r="AT807" t="s">
        <v>11510</v>
      </c>
      <c r="AU807">
        <v>2006</v>
      </c>
      <c r="AV807">
        <v>42</v>
      </c>
      <c r="AW807">
        <v>1</v>
      </c>
      <c r="AX807" t="s">
        <v>74</v>
      </c>
      <c r="AY807" t="s">
        <v>74</v>
      </c>
      <c r="AZ807" t="s">
        <v>74</v>
      </c>
      <c r="BA807" t="s">
        <v>74</v>
      </c>
      <c r="BB807">
        <v>78</v>
      </c>
      <c r="BC807">
        <v>85</v>
      </c>
      <c r="BD807" t="s">
        <v>74</v>
      </c>
      <c r="BE807" t="s">
        <v>12129</v>
      </c>
      <c r="BF807" t="str">
        <f>HYPERLINK("http://dx.doi.org/10.1111/j.1529-8817.2006.00164.x","http://dx.doi.org/10.1111/j.1529-8817.2006.00164.x")</f>
        <v>http://dx.doi.org/10.1111/j.1529-8817.2006.00164.x</v>
      </c>
      <c r="BG807" t="s">
        <v>74</v>
      </c>
      <c r="BH807" t="s">
        <v>74</v>
      </c>
      <c r="BI807">
        <v>8</v>
      </c>
      <c r="BJ807" t="s">
        <v>504</v>
      </c>
      <c r="BK807" t="s">
        <v>97</v>
      </c>
      <c r="BL807" t="s">
        <v>504</v>
      </c>
      <c r="BM807" t="s">
        <v>12130</v>
      </c>
      <c r="BN807" t="s">
        <v>74</v>
      </c>
      <c r="BO807" t="s">
        <v>74</v>
      </c>
      <c r="BP807" t="s">
        <v>74</v>
      </c>
      <c r="BQ807" t="s">
        <v>74</v>
      </c>
      <c r="BR807" t="s">
        <v>100</v>
      </c>
      <c r="BS807" t="s">
        <v>12131</v>
      </c>
      <c r="BT807" t="str">
        <f>HYPERLINK("https%3A%2F%2Fwww.webofscience.com%2Fwos%2Fwoscc%2Ffull-record%2FWOS:000235220500009","View Full Record in Web of Science")</f>
        <v>View Full Record in Web of Science</v>
      </c>
    </row>
    <row r="808" spans="1:72" x14ac:dyDescent="0.15">
      <c r="A808" t="s">
        <v>72</v>
      </c>
      <c r="B808" t="s">
        <v>12132</v>
      </c>
      <c r="C808" t="s">
        <v>74</v>
      </c>
      <c r="D808" t="s">
        <v>74</v>
      </c>
      <c r="E808" t="s">
        <v>74</v>
      </c>
      <c r="F808" t="s">
        <v>12132</v>
      </c>
      <c r="G808" t="s">
        <v>74</v>
      </c>
      <c r="H808" t="s">
        <v>74</v>
      </c>
      <c r="I808" t="s">
        <v>12133</v>
      </c>
      <c r="J808" t="s">
        <v>8654</v>
      </c>
      <c r="K808" t="s">
        <v>74</v>
      </c>
      <c r="L808" t="s">
        <v>74</v>
      </c>
      <c r="M808" t="s">
        <v>78</v>
      </c>
      <c r="N808" t="s">
        <v>79</v>
      </c>
      <c r="O808" t="s">
        <v>74</v>
      </c>
      <c r="P808" t="s">
        <v>74</v>
      </c>
      <c r="Q808" t="s">
        <v>74</v>
      </c>
      <c r="R808" t="s">
        <v>74</v>
      </c>
      <c r="S808" t="s">
        <v>74</v>
      </c>
      <c r="T808" t="s">
        <v>12134</v>
      </c>
      <c r="U808" t="s">
        <v>12135</v>
      </c>
      <c r="V808" t="s">
        <v>12136</v>
      </c>
      <c r="W808" t="s">
        <v>12137</v>
      </c>
      <c r="X808" t="s">
        <v>12138</v>
      </c>
      <c r="Y808" t="s">
        <v>12139</v>
      </c>
      <c r="Z808" t="s">
        <v>12140</v>
      </c>
      <c r="AA808" t="s">
        <v>74</v>
      </c>
      <c r="AB808" t="s">
        <v>12141</v>
      </c>
      <c r="AC808" t="s">
        <v>74</v>
      </c>
      <c r="AD808" t="s">
        <v>74</v>
      </c>
      <c r="AE808" t="s">
        <v>74</v>
      </c>
      <c r="AF808" t="s">
        <v>74</v>
      </c>
      <c r="AG808">
        <v>36</v>
      </c>
      <c r="AH808">
        <v>54</v>
      </c>
      <c r="AI808">
        <v>58</v>
      </c>
      <c r="AJ808">
        <v>1</v>
      </c>
      <c r="AK808">
        <v>13</v>
      </c>
      <c r="AL808" t="s">
        <v>115</v>
      </c>
      <c r="AM808" t="s">
        <v>116</v>
      </c>
      <c r="AN808" t="s">
        <v>117</v>
      </c>
      <c r="AO808" t="s">
        <v>8656</v>
      </c>
      <c r="AP808" t="s">
        <v>12128</v>
      </c>
      <c r="AQ808" t="s">
        <v>74</v>
      </c>
      <c r="AR808" t="s">
        <v>8657</v>
      </c>
      <c r="AS808" t="s">
        <v>8658</v>
      </c>
      <c r="AT808" t="s">
        <v>11510</v>
      </c>
      <c r="AU808">
        <v>2006</v>
      </c>
      <c r="AV808">
        <v>42</v>
      </c>
      <c r="AW808">
        <v>1</v>
      </c>
      <c r="AX808" t="s">
        <v>74</v>
      </c>
      <c r="AY808" t="s">
        <v>74</v>
      </c>
      <c r="AZ808" t="s">
        <v>74</v>
      </c>
      <c r="BA808" t="s">
        <v>74</v>
      </c>
      <c r="BB808">
        <v>233</v>
      </c>
      <c r="BC808">
        <v>242</v>
      </c>
      <c r="BD808" t="s">
        <v>74</v>
      </c>
      <c r="BE808" t="s">
        <v>12142</v>
      </c>
      <c r="BF808" t="str">
        <f>HYPERLINK("http://dx.doi.org/10.1111/j.1529-8817.2006.00183.x","http://dx.doi.org/10.1111/j.1529-8817.2006.00183.x")</f>
        <v>http://dx.doi.org/10.1111/j.1529-8817.2006.00183.x</v>
      </c>
      <c r="BG808" t="s">
        <v>74</v>
      </c>
      <c r="BH808" t="s">
        <v>74</v>
      </c>
      <c r="BI808">
        <v>10</v>
      </c>
      <c r="BJ808" t="s">
        <v>504</v>
      </c>
      <c r="BK808" t="s">
        <v>97</v>
      </c>
      <c r="BL808" t="s">
        <v>504</v>
      </c>
      <c r="BM808" t="s">
        <v>12130</v>
      </c>
      <c r="BN808" t="s">
        <v>74</v>
      </c>
      <c r="BO808" t="s">
        <v>74</v>
      </c>
      <c r="BP808" t="s">
        <v>74</v>
      </c>
      <c r="BQ808" t="s">
        <v>74</v>
      </c>
      <c r="BR808" t="s">
        <v>100</v>
      </c>
      <c r="BS808" t="s">
        <v>12143</v>
      </c>
      <c r="BT808" t="str">
        <f>HYPERLINK("https%3A%2F%2Fwww.webofscience.com%2Fwos%2Fwoscc%2Ffull-record%2FWOS:000235220500022","View Full Record in Web of Science")</f>
        <v>View Full Record in Web of Science</v>
      </c>
    </row>
    <row r="809" spans="1:72" x14ac:dyDescent="0.15">
      <c r="A809" t="s">
        <v>72</v>
      </c>
      <c r="B809" t="s">
        <v>12144</v>
      </c>
      <c r="C809" t="s">
        <v>74</v>
      </c>
      <c r="D809" t="s">
        <v>74</v>
      </c>
      <c r="E809" t="s">
        <v>74</v>
      </c>
      <c r="F809" t="s">
        <v>12144</v>
      </c>
      <c r="G809" t="s">
        <v>74</v>
      </c>
      <c r="H809" t="s">
        <v>74</v>
      </c>
      <c r="I809" t="s">
        <v>12145</v>
      </c>
      <c r="J809" t="s">
        <v>1056</v>
      </c>
      <c r="K809" t="s">
        <v>74</v>
      </c>
      <c r="L809" t="s">
        <v>74</v>
      </c>
      <c r="M809" t="s">
        <v>78</v>
      </c>
      <c r="N809" t="s">
        <v>79</v>
      </c>
      <c r="O809" t="s">
        <v>74</v>
      </c>
      <c r="P809" t="s">
        <v>74</v>
      </c>
      <c r="Q809" t="s">
        <v>74</v>
      </c>
      <c r="R809" t="s">
        <v>74</v>
      </c>
      <c r="S809" t="s">
        <v>74</v>
      </c>
      <c r="T809" t="s">
        <v>74</v>
      </c>
      <c r="U809" t="s">
        <v>12146</v>
      </c>
      <c r="V809" t="s">
        <v>12147</v>
      </c>
      <c r="W809" t="s">
        <v>12148</v>
      </c>
      <c r="X809" t="s">
        <v>12149</v>
      </c>
      <c r="Y809" t="s">
        <v>12150</v>
      </c>
      <c r="Z809" t="s">
        <v>12151</v>
      </c>
      <c r="AA809" t="s">
        <v>12152</v>
      </c>
      <c r="AB809" t="s">
        <v>12153</v>
      </c>
      <c r="AC809" t="s">
        <v>74</v>
      </c>
      <c r="AD809" t="s">
        <v>74</v>
      </c>
      <c r="AE809" t="s">
        <v>74</v>
      </c>
      <c r="AF809" t="s">
        <v>74</v>
      </c>
      <c r="AG809">
        <v>26</v>
      </c>
      <c r="AH809">
        <v>268</v>
      </c>
      <c r="AI809">
        <v>293</v>
      </c>
      <c r="AJ809">
        <v>3</v>
      </c>
      <c r="AK809">
        <v>33</v>
      </c>
      <c r="AL809" t="s">
        <v>861</v>
      </c>
      <c r="AM809" t="s">
        <v>862</v>
      </c>
      <c r="AN809" t="s">
        <v>863</v>
      </c>
      <c r="AO809" t="s">
        <v>1065</v>
      </c>
      <c r="AP809" t="s">
        <v>74</v>
      </c>
      <c r="AQ809" t="s">
        <v>74</v>
      </c>
      <c r="AR809" t="s">
        <v>1066</v>
      </c>
      <c r="AS809" t="s">
        <v>1067</v>
      </c>
      <c r="AT809" t="s">
        <v>11510</v>
      </c>
      <c r="AU809">
        <v>2006</v>
      </c>
      <c r="AV809">
        <v>36</v>
      </c>
      <c r="AW809">
        <v>2</v>
      </c>
      <c r="AX809" t="s">
        <v>74</v>
      </c>
      <c r="AY809" t="s">
        <v>74</v>
      </c>
      <c r="AZ809" t="s">
        <v>74</v>
      </c>
      <c r="BA809" t="s">
        <v>74</v>
      </c>
      <c r="BB809">
        <v>165</v>
      </c>
      <c r="BC809">
        <v>176</v>
      </c>
      <c r="BD809" t="s">
        <v>74</v>
      </c>
      <c r="BE809" t="s">
        <v>12154</v>
      </c>
      <c r="BF809" t="str">
        <f>HYPERLINK("http://dx.doi.org/10.1175/JPO2840.1","http://dx.doi.org/10.1175/JPO2840.1")</f>
        <v>http://dx.doi.org/10.1175/JPO2840.1</v>
      </c>
      <c r="BG809" t="s">
        <v>74</v>
      </c>
      <c r="BH809" t="s">
        <v>74</v>
      </c>
      <c r="BI809">
        <v>12</v>
      </c>
      <c r="BJ809" t="s">
        <v>1069</v>
      </c>
      <c r="BK809" t="s">
        <v>97</v>
      </c>
      <c r="BL809" t="s">
        <v>1069</v>
      </c>
      <c r="BM809" t="s">
        <v>12155</v>
      </c>
      <c r="BN809" t="s">
        <v>74</v>
      </c>
      <c r="BO809" t="s">
        <v>227</v>
      </c>
      <c r="BP809" t="s">
        <v>74</v>
      </c>
      <c r="BQ809" t="s">
        <v>74</v>
      </c>
      <c r="BR809" t="s">
        <v>100</v>
      </c>
      <c r="BS809" t="s">
        <v>12156</v>
      </c>
      <c r="BT809" t="str">
        <f>HYPERLINK("https%3A%2F%2Fwww.webofscience.com%2Fwos%2Fwoscc%2Ffull-record%2FWOS:000236178900001","View Full Record in Web of Science")</f>
        <v>View Full Record in Web of Science</v>
      </c>
    </row>
    <row r="810" spans="1:72" x14ac:dyDescent="0.15">
      <c r="A810" t="s">
        <v>72</v>
      </c>
      <c r="B810" t="s">
        <v>12157</v>
      </c>
      <c r="C810" t="s">
        <v>74</v>
      </c>
      <c r="D810" t="s">
        <v>74</v>
      </c>
      <c r="E810" t="s">
        <v>74</v>
      </c>
      <c r="F810" t="s">
        <v>12157</v>
      </c>
      <c r="G810" t="s">
        <v>74</v>
      </c>
      <c r="H810" t="s">
        <v>74</v>
      </c>
      <c r="I810" t="s">
        <v>12158</v>
      </c>
      <c r="J810" t="s">
        <v>1056</v>
      </c>
      <c r="K810" t="s">
        <v>74</v>
      </c>
      <c r="L810" t="s">
        <v>74</v>
      </c>
      <c r="M810" t="s">
        <v>78</v>
      </c>
      <c r="N810" t="s">
        <v>79</v>
      </c>
      <c r="O810" t="s">
        <v>74</v>
      </c>
      <c r="P810" t="s">
        <v>74</v>
      </c>
      <c r="Q810" t="s">
        <v>74</v>
      </c>
      <c r="R810" t="s">
        <v>74</v>
      </c>
      <c r="S810" t="s">
        <v>74</v>
      </c>
      <c r="T810" t="s">
        <v>74</v>
      </c>
      <c r="U810" t="s">
        <v>12159</v>
      </c>
      <c r="V810" t="s">
        <v>12160</v>
      </c>
      <c r="W810" t="s">
        <v>12161</v>
      </c>
      <c r="X810" t="s">
        <v>12162</v>
      </c>
      <c r="Y810" t="s">
        <v>12163</v>
      </c>
      <c r="Z810" t="s">
        <v>12164</v>
      </c>
      <c r="AA810" t="s">
        <v>12165</v>
      </c>
      <c r="AB810" t="s">
        <v>12166</v>
      </c>
      <c r="AC810" t="s">
        <v>74</v>
      </c>
      <c r="AD810" t="s">
        <v>74</v>
      </c>
      <c r="AE810" t="s">
        <v>74</v>
      </c>
      <c r="AF810" t="s">
        <v>74</v>
      </c>
      <c r="AG810">
        <v>32</v>
      </c>
      <c r="AH810">
        <v>2</v>
      </c>
      <c r="AI810">
        <v>2</v>
      </c>
      <c r="AJ810">
        <v>0</v>
      </c>
      <c r="AK810">
        <v>1</v>
      </c>
      <c r="AL810" t="s">
        <v>861</v>
      </c>
      <c r="AM810" t="s">
        <v>862</v>
      </c>
      <c r="AN810" t="s">
        <v>863</v>
      </c>
      <c r="AO810" t="s">
        <v>1065</v>
      </c>
      <c r="AP810" t="s">
        <v>74</v>
      </c>
      <c r="AQ810" t="s">
        <v>74</v>
      </c>
      <c r="AR810" t="s">
        <v>1066</v>
      </c>
      <c r="AS810" t="s">
        <v>1067</v>
      </c>
      <c r="AT810" t="s">
        <v>11510</v>
      </c>
      <c r="AU810">
        <v>2006</v>
      </c>
      <c r="AV810">
        <v>36</v>
      </c>
      <c r="AW810">
        <v>2</v>
      </c>
      <c r="AX810" t="s">
        <v>74</v>
      </c>
      <c r="AY810" t="s">
        <v>74</v>
      </c>
      <c r="AZ810" t="s">
        <v>74</v>
      </c>
      <c r="BA810" t="s">
        <v>74</v>
      </c>
      <c r="BB810">
        <v>255</v>
      </c>
      <c r="BC810">
        <v>269</v>
      </c>
      <c r="BD810" t="s">
        <v>74</v>
      </c>
      <c r="BE810" t="s">
        <v>12167</v>
      </c>
      <c r="BF810" t="str">
        <f>HYPERLINK("http://dx.doi.org/10.1175/JPO2856.1","http://dx.doi.org/10.1175/JPO2856.1")</f>
        <v>http://dx.doi.org/10.1175/JPO2856.1</v>
      </c>
      <c r="BG810" t="s">
        <v>74</v>
      </c>
      <c r="BH810" t="s">
        <v>74</v>
      </c>
      <c r="BI810">
        <v>15</v>
      </c>
      <c r="BJ810" t="s">
        <v>1069</v>
      </c>
      <c r="BK810" t="s">
        <v>97</v>
      </c>
      <c r="BL810" t="s">
        <v>1069</v>
      </c>
      <c r="BM810" t="s">
        <v>12155</v>
      </c>
      <c r="BN810" t="s">
        <v>74</v>
      </c>
      <c r="BO810" t="s">
        <v>460</v>
      </c>
      <c r="BP810" t="s">
        <v>74</v>
      </c>
      <c r="BQ810" t="s">
        <v>74</v>
      </c>
      <c r="BR810" t="s">
        <v>100</v>
      </c>
      <c r="BS810" t="s">
        <v>12168</v>
      </c>
      <c r="BT810" t="str">
        <f>HYPERLINK("https%3A%2F%2Fwww.webofscience.com%2Fwos%2Fwoscc%2Ffull-record%2FWOS:000236178900008","View Full Record in Web of Science")</f>
        <v>View Full Record in Web of Science</v>
      </c>
    </row>
    <row r="811" spans="1:72" x14ac:dyDescent="0.15">
      <c r="A811" t="s">
        <v>72</v>
      </c>
      <c r="B811" t="s">
        <v>12169</v>
      </c>
      <c r="C811" t="s">
        <v>74</v>
      </c>
      <c r="D811" t="s">
        <v>74</v>
      </c>
      <c r="E811" t="s">
        <v>74</v>
      </c>
      <c r="F811" t="s">
        <v>12169</v>
      </c>
      <c r="G811" t="s">
        <v>74</v>
      </c>
      <c r="H811" t="s">
        <v>74</v>
      </c>
      <c r="I811" t="s">
        <v>12170</v>
      </c>
      <c r="J811" t="s">
        <v>3216</v>
      </c>
      <c r="K811" t="s">
        <v>74</v>
      </c>
      <c r="L811" t="s">
        <v>74</v>
      </c>
      <c r="M811" t="s">
        <v>78</v>
      </c>
      <c r="N811" t="s">
        <v>79</v>
      </c>
      <c r="O811" t="s">
        <v>74</v>
      </c>
      <c r="P811" t="s">
        <v>74</v>
      </c>
      <c r="Q811" t="s">
        <v>74</v>
      </c>
      <c r="R811" t="s">
        <v>74</v>
      </c>
      <c r="S811" t="s">
        <v>74</v>
      </c>
      <c r="T811" t="s">
        <v>74</v>
      </c>
      <c r="U811" t="s">
        <v>12171</v>
      </c>
      <c r="V811" t="s">
        <v>12172</v>
      </c>
      <c r="W811" t="s">
        <v>12173</v>
      </c>
      <c r="X811" t="s">
        <v>12174</v>
      </c>
      <c r="Y811" t="s">
        <v>12175</v>
      </c>
      <c r="Z811" t="s">
        <v>12176</v>
      </c>
      <c r="AA811" t="s">
        <v>74</v>
      </c>
      <c r="AB811" t="s">
        <v>74</v>
      </c>
      <c r="AC811" t="s">
        <v>74</v>
      </c>
      <c r="AD811" t="s">
        <v>74</v>
      </c>
      <c r="AE811" t="s">
        <v>74</v>
      </c>
      <c r="AF811" t="s">
        <v>74</v>
      </c>
      <c r="AG811">
        <v>21</v>
      </c>
      <c r="AH811">
        <v>7</v>
      </c>
      <c r="AI811">
        <v>8</v>
      </c>
      <c r="AJ811">
        <v>0</v>
      </c>
      <c r="AK811">
        <v>0</v>
      </c>
      <c r="AL811" t="s">
        <v>861</v>
      </c>
      <c r="AM811" t="s">
        <v>862</v>
      </c>
      <c r="AN811" t="s">
        <v>863</v>
      </c>
      <c r="AO811" t="s">
        <v>3225</v>
      </c>
      <c r="AP811" t="s">
        <v>74</v>
      </c>
      <c r="AQ811" t="s">
        <v>74</v>
      </c>
      <c r="AR811" t="s">
        <v>3227</v>
      </c>
      <c r="AS811" t="s">
        <v>3228</v>
      </c>
      <c r="AT811" t="s">
        <v>11510</v>
      </c>
      <c r="AU811">
        <v>2006</v>
      </c>
      <c r="AV811">
        <v>63</v>
      </c>
      <c r="AW811">
        <v>2</v>
      </c>
      <c r="AX811" t="s">
        <v>74</v>
      </c>
      <c r="AY811" t="s">
        <v>74</v>
      </c>
      <c r="AZ811" t="s">
        <v>74</v>
      </c>
      <c r="BA811" t="s">
        <v>74</v>
      </c>
      <c r="BB811">
        <v>565</v>
      </c>
      <c r="BC811">
        <v>581</v>
      </c>
      <c r="BD811" t="s">
        <v>74</v>
      </c>
      <c r="BE811" t="s">
        <v>12177</v>
      </c>
      <c r="BF811" t="str">
        <f>HYPERLINK("http://dx.doi.org/10.1175/JAS3586.1","http://dx.doi.org/10.1175/JAS3586.1")</f>
        <v>http://dx.doi.org/10.1175/JAS3586.1</v>
      </c>
      <c r="BG811" t="s">
        <v>74</v>
      </c>
      <c r="BH811" t="s">
        <v>74</v>
      </c>
      <c r="BI811">
        <v>17</v>
      </c>
      <c r="BJ811" t="s">
        <v>869</v>
      </c>
      <c r="BK811" t="s">
        <v>97</v>
      </c>
      <c r="BL811" t="s">
        <v>869</v>
      </c>
      <c r="BM811" t="s">
        <v>12178</v>
      </c>
      <c r="BN811" t="s">
        <v>74</v>
      </c>
      <c r="BO811" t="s">
        <v>460</v>
      </c>
      <c r="BP811" t="s">
        <v>74</v>
      </c>
      <c r="BQ811" t="s">
        <v>74</v>
      </c>
      <c r="BR811" t="s">
        <v>100</v>
      </c>
      <c r="BS811" t="s">
        <v>12179</v>
      </c>
      <c r="BT811" t="str">
        <f>HYPERLINK("https%3A%2F%2Fwww.webofscience.com%2Fwos%2Fwoscc%2Ffull-record%2FWOS:000235870900009","View Full Record in Web of Science")</f>
        <v>View Full Record in Web of Science</v>
      </c>
    </row>
    <row r="812" spans="1:72" x14ac:dyDescent="0.15">
      <c r="A812" t="s">
        <v>72</v>
      </c>
      <c r="B812" t="s">
        <v>12180</v>
      </c>
      <c r="C812" t="s">
        <v>74</v>
      </c>
      <c r="D812" t="s">
        <v>74</v>
      </c>
      <c r="E812" t="s">
        <v>74</v>
      </c>
      <c r="F812" t="s">
        <v>12181</v>
      </c>
      <c r="G812" t="s">
        <v>74</v>
      </c>
      <c r="H812" t="s">
        <v>74</v>
      </c>
      <c r="I812" t="s">
        <v>12182</v>
      </c>
      <c r="J812" t="s">
        <v>12183</v>
      </c>
      <c r="K812" t="s">
        <v>74</v>
      </c>
      <c r="L812" t="s">
        <v>74</v>
      </c>
      <c r="M812" t="s">
        <v>78</v>
      </c>
      <c r="N812" t="s">
        <v>79</v>
      </c>
      <c r="O812" t="s">
        <v>74</v>
      </c>
      <c r="P812" t="s">
        <v>74</v>
      </c>
      <c r="Q812" t="s">
        <v>74</v>
      </c>
      <c r="R812" t="s">
        <v>74</v>
      </c>
      <c r="S812" t="s">
        <v>74</v>
      </c>
      <c r="T812" t="s">
        <v>12184</v>
      </c>
      <c r="U812" t="s">
        <v>12185</v>
      </c>
      <c r="V812" t="s">
        <v>12186</v>
      </c>
      <c r="W812" t="s">
        <v>12187</v>
      </c>
      <c r="X812" t="s">
        <v>5934</v>
      </c>
      <c r="Y812" t="s">
        <v>12188</v>
      </c>
      <c r="Z812" t="s">
        <v>74</v>
      </c>
      <c r="AA812" t="s">
        <v>74</v>
      </c>
      <c r="AB812" t="s">
        <v>12189</v>
      </c>
      <c r="AC812" t="s">
        <v>74</v>
      </c>
      <c r="AD812" t="s">
        <v>74</v>
      </c>
      <c r="AE812" t="s">
        <v>74</v>
      </c>
      <c r="AF812" t="s">
        <v>74</v>
      </c>
      <c r="AG812">
        <v>43</v>
      </c>
      <c r="AH812">
        <v>7</v>
      </c>
      <c r="AI812">
        <v>7</v>
      </c>
      <c r="AJ812">
        <v>0</v>
      </c>
      <c r="AK812">
        <v>6</v>
      </c>
      <c r="AL812" t="s">
        <v>12190</v>
      </c>
      <c r="AM812" t="s">
        <v>12191</v>
      </c>
      <c r="AN812" t="s">
        <v>12192</v>
      </c>
      <c r="AO812" t="s">
        <v>12193</v>
      </c>
      <c r="AP812" t="s">
        <v>12194</v>
      </c>
      <c r="AQ812" t="s">
        <v>74</v>
      </c>
      <c r="AR812" t="s">
        <v>12195</v>
      </c>
      <c r="AS812" t="s">
        <v>12196</v>
      </c>
      <c r="AT812" t="s">
        <v>11510</v>
      </c>
      <c r="AU812">
        <v>2006</v>
      </c>
      <c r="AV812">
        <v>67</v>
      </c>
      <c r="AW812">
        <v>2</v>
      </c>
      <c r="AX812" t="s">
        <v>74</v>
      </c>
      <c r="AY812" t="s">
        <v>74</v>
      </c>
      <c r="AZ812" t="s">
        <v>74</v>
      </c>
      <c r="BA812" t="s">
        <v>74</v>
      </c>
      <c r="BB812">
        <v>189</v>
      </c>
      <c r="BC812">
        <v>196</v>
      </c>
      <c r="BD812" t="s">
        <v>74</v>
      </c>
      <c r="BE812" t="s">
        <v>74</v>
      </c>
      <c r="BF812" t="s">
        <v>74</v>
      </c>
      <c r="BG812" t="s">
        <v>74</v>
      </c>
      <c r="BH812" t="s">
        <v>74</v>
      </c>
      <c r="BI812">
        <v>8</v>
      </c>
      <c r="BJ812" t="s">
        <v>527</v>
      </c>
      <c r="BK812" t="s">
        <v>97</v>
      </c>
      <c r="BL812" t="s">
        <v>528</v>
      </c>
      <c r="BM812" t="s">
        <v>12197</v>
      </c>
      <c r="BN812" t="s">
        <v>74</v>
      </c>
      <c r="BO812" t="s">
        <v>74</v>
      </c>
      <c r="BP812" t="s">
        <v>74</v>
      </c>
      <c r="BQ812" t="s">
        <v>74</v>
      </c>
      <c r="BR812" t="s">
        <v>100</v>
      </c>
      <c r="BS812" t="s">
        <v>12198</v>
      </c>
      <c r="BT812" t="str">
        <f>HYPERLINK("https%3A%2F%2Fwww.webofscience.com%2Fwos%2Fwoscc%2Ffull-record%2FWOS:000239983200007","View Full Record in Web of Science")</f>
        <v>View Full Record in Web of Science</v>
      </c>
    </row>
    <row r="813" spans="1:72" x14ac:dyDescent="0.15">
      <c r="A813" t="s">
        <v>72</v>
      </c>
      <c r="B813" t="s">
        <v>12199</v>
      </c>
      <c r="C813" t="s">
        <v>74</v>
      </c>
      <c r="D813" t="s">
        <v>74</v>
      </c>
      <c r="E813" t="s">
        <v>74</v>
      </c>
      <c r="F813" t="s">
        <v>12200</v>
      </c>
      <c r="G813" t="s">
        <v>74</v>
      </c>
      <c r="H813" t="s">
        <v>74</v>
      </c>
      <c r="I813" t="s">
        <v>12201</v>
      </c>
      <c r="J813" t="s">
        <v>12183</v>
      </c>
      <c r="K813" t="s">
        <v>74</v>
      </c>
      <c r="L813" t="s">
        <v>74</v>
      </c>
      <c r="M813" t="s">
        <v>78</v>
      </c>
      <c r="N813" t="s">
        <v>79</v>
      </c>
      <c r="O813" t="s">
        <v>74</v>
      </c>
      <c r="P813" t="s">
        <v>74</v>
      </c>
      <c r="Q813" t="s">
        <v>74</v>
      </c>
      <c r="R813" t="s">
        <v>74</v>
      </c>
      <c r="S813" t="s">
        <v>74</v>
      </c>
      <c r="T813" t="s">
        <v>12202</v>
      </c>
      <c r="U813" t="s">
        <v>12203</v>
      </c>
      <c r="V813" t="s">
        <v>12204</v>
      </c>
      <c r="W813" t="s">
        <v>12205</v>
      </c>
      <c r="X813" t="s">
        <v>12206</v>
      </c>
      <c r="Y813" t="s">
        <v>12207</v>
      </c>
      <c r="Z813" t="s">
        <v>12208</v>
      </c>
      <c r="AA813" t="s">
        <v>12209</v>
      </c>
      <c r="AB813" t="s">
        <v>12210</v>
      </c>
      <c r="AC813" t="s">
        <v>74</v>
      </c>
      <c r="AD813" t="s">
        <v>74</v>
      </c>
      <c r="AE813" t="s">
        <v>74</v>
      </c>
      <c r="AF813" t="s">
        <v>74</v>
      </c>
      <c r="AG813">
        <v>21</v>
      </c>
      <c r="AH813">
        <v>5</v>
      </c>
      <c r="AI813">
        <v>5</v>
      </c>
      <c r="AJ813">
        <v>0</v>
      </c>
      <c r="AK813">
        <v>1</v>
      </c>
      <c r="AL813" t="s">
        <v>12190</v>
      </c>
      <c r="AM813" t="s">
        <v>12191</v>
      </c>
      <c r="AN813" t="s">
        <v>12192</v>
      </c>
      <c r="AO813" t="s">
        <v>12193</v>
      </c>
      <c r="AP813" t="s">
        <v>12194</v>
      </c>
      <c r="AQ813" t="s">
        <v>74</v>
      </c>
      <c r="AR813" t="s">
        <v>12195</v>
      </c>
      <c r="AS813" t="s">
        <v>12196</v>
      </c>
      <c r="AT813" t="s">
        <v>11510</v>
      </c>
      <c r="AU813">
        <v>2006</v>
      </c>
      <c r="AV813">
        <v>67</v>
      </c>
      <c r="AW813">
        <v>2</v>
      </c>
      <c r="AX813" t="s">
        <v>74</v>
      </c>
      <c r="AY813" t="s">
        <v>74</v>
      </c>
      <c r="AZ813" t="s">
        <v>74</v>
      </c>
      <c r="BA813" t="s">
        <v>74</v>
      </c>
      <c r="BB813">
        <v>234</v>
      </c>
      <c r="BC813">
        <v>242</v>
      </c>
      <c r="BD813" t="s">
        <v>74</v>
      </c>
      <c r="BE813" t="s">
        <v>74</v>
      </c>
      <c r="BF813" t="s">
        <v>74</v>
      </c>
      <c r="BG813" t="s">
        <v>74</v>
      </c>
      <c r="BH813" t="s">
        <v>74</v>
      </c>
      <c r="BI813">
        <v>9</v>
      </c>
      <c r="BJ813" t="s">
        <v>527</v>
      </c>
      <c r="BK813" t="s">
        <v>97</v>
      </c>
      <c r="BL813" t="s">
        <v>528</v>
      </c>
      <c r="BM813" t="s">
        <v>12197</v>
      </c>
      <c r="BN813" t="s">
        <v>74</v>
      </c>
      <c r="BO813" t="s">
        <v>74</v>
      </c>
      <c r="BP813" t="s">
        <v>74</v>
      </c>
      <c r="BQ813" t="s">
        <v>74</v>
      </c>
      <c r="BR813" t="s">
        <v>100</v>
      </c>
      <c r="BS813" t="s">
        <v>12211</v>
      </c>
      <c r="BT813" t="str">
        <f>HYPERLINK("https%3A%2F%2Fwww.webofscience.com%2Fwos%2Fwoscc%2Ffull-record%2FWOS:000239983200012","View Full Record in Web of Science")</f>
        <v>View Full Record in Web of Science</v>
      </c>
    </row>
    <row r="814" spans="1:72" x14ac:dyDescent="0.15">
      <c r="A814" t="s">
        <v>72</v>
      </c>
      <c r="B814" t="s">
        <v>12212</v>
      </c>
      <c r="C814" t="s">
        <v>74</v>
      </c>
      <c r="D814" t="s">
        <v>74</v>
      </c>
      <c r="E814" t="s">
        <v>74</v>
      </c>
      <c r="F814" t="s">
        <v>12212</v>
      </c>
      <c r="G814" t="s">
        <v>74</v>
      </c>
      <c r="H814" t="s">
        <v>74</v>
      </c>
      <c r="I814" t="s">
        <v>12213</v>
      </c>
      <c r="J814" t="s">
        <v>5430</v>
      </c>
      <c r="K814" t="s">
        <v>74</v>
      </c>
      <c r="L814" t="s">
        <v>74</v>
      </c>
      <c r="M814" t="s">
        <v>78</v>
      </c>
      <c r="N814" t="s">
        <v>79</v>
      </c>
      <c r="O814" t="s">
        <v>74</v>
      </c>
      <c r="P814" t="s">
        <v>74</v>
      </c>
      <c r="Q814" t="s">
        <v>74</v>
      </c>
      <c r="R814" t="s">
        <v>74</v>
      </c>
      <c r="S814" t="s">
        <v>74</v>
      </c>
      <c r="T814" t="s">
        <v>74</v>
      </c>
      <c r="U814" t="s">
        <v>12214</v>
      </c>
      <c r="V814" t="s">
        <v>12215</v>
      </c>
      <c r="W814" t="s">
        <v>12216</v>
      </c>
      <c r="X814" t="s">
        <v>12217</v>
      </c>
      <c r="Y814" t="s">
        <v>12218</v>
      </c>
      <c r="Z814" t="s">
        <v>12219</v>
      </c>
      <c r="AA814" t="s">
        <v>12220</v>
      </c>
      <c r="AB814" t="s">
        <v>12221</v>
      </c>
      <c r="AC814" t="s">
        <v>74</v>
      </c>
      <c r="AD814" t="s">
        <v>74</v>
      </c>
      <c r="AE814" t="s">
        <v>74</v>
      </c>
      <c r="AF814" t="s">
        <v>74</v>
      </c>
      <c r="AG814">
        <v>26</v>
      </c>
      <c r="AH814">
        <v>2</v>
      </c>
      <c r="AI814">
        <v>3</v>
      </c>
      <c r="AJ814">
        <v>0</v>
      </c>
      <c r="AK814">
        <v>5</v>
      </c>
      <c r="AL814" t="s">
        <v>5438</v>
      </c>
      <c r="AM814" t="s">
        <v>5015</v>
      </c>
      <c r="AN814" t="s">
        <v>5439</v>
      </c>
      <c r="AO814" t="s">
        <v>5440</v>
      </c>
      <c r="AP814" t="s">
        <v>5441</v>
      </c>
      <c r="AQ814" t="s">
        <v>74</v>
      </c>
      <c r="AR814" t="s">
        <v>5442</v>
      </c>
      <c r="AS814" t="s">
        <v>5443</v>
      </c>
      <c r="AT814" t="s">
        <v>11510</v>
      </c>
      <c r="AU814">
        <v>2006</v>
      </c>
      <c r="AV814">
        <v>84</v>
      </c>
      <c r="AW814">
        <v>1</v>
      </c>
      <c r="AX814" t="s">
        <v>74</v>
      </c>
      <c r="AY814" t="s">
        <v>74</v>
      </c>
      <c r="AZ814" t="s">
        <v>74</v>
      </c>
      <c r="BA814" t="s">
        <v>74</v>
      </c>
      <c r="BB814">
        <v>97</v>
      </c>
      <c r="BC814">
        <v>113</v>
      </c>
      <c r="BD814" t="s">
        <v>74</v>
      </c>
      <c r="BE814" t="s">
        <v>12222</v>
      </c>
      <c r="BF814" t="str">
        <f>HYPERLINK("http://dx.doi.org/10.2151/jmsj.84.97","http://dx.doi.org/10.2151/jmsj.84.97")</f>
        <v>http://dx.doi.org/10.2151/jmsj.84.97</v>
      </c>
      <c r="BG814" t="s">
        <v>74</v>
      </c>
      <c r="BH814" t="s">
        <v>74</v>
      </c>
      <c r="BI814">
        <v>17</v>
      </c>
      <c r="BJ814" t="s">
        <v>869</v>
      </c>
      <c r="BK814" t="s">
        <v>97</v>
      </c>
      <c r="BL814" t="s">
        <v>869</v>
      </c>
      <c r="BM814" t="s">
        <v>12223</v>
      </c>
      <c r="BN814" t="s">
        <v>74</v>
      </c>
      <c r="BO814" t="s">
        <v>460</v>
      </c>
      <c r="BP814" t="s">
        <v>74</v>
      </c>
      <c r="BQ814" t="s">
        <v>74</v>
      </c>
      <c r="BR814" t="s">
        <v>100</v>
      </c>
      <c r="BS814" t="s">
        <v>12224</v>
      </c>
      <c r="BT814" t="str">
        <f>HYPERLINK("https%3A%2F%2Fwww.webofscience.com%2Fwos%2Fwoscc%2Ffull-record%2FWOS:000236619300007","View Full Record in Web of Science")</f>
        <v>View Full Record in Web of Science</v>
      </c>
    </row>
    <row r="815" spans="1:72" x14ac:dyDescent="0.15">
      <c r="A815" t="s">
        <v>72</v>
      </c>
      <c r="B815" t="s">
        <v>12225</v>
      </c>
      <c r="C815" t="s">
        <v>74</v>
      </c>
      <c r="D815" t="s">
        <v>74</v>
      </c>
      <c r="E815" t="s">
        <v>74</v>
      </c>
      <c r="F815" t="s">
        <v>12225</v>
      </c>
      <c r="G815" t="s">
        <v>74</v>
      </c>
      <c r="H815" t="s">
        <v>74</v>
      </c>
      <c r="I815" t="s">
        <v>12226</v>
      </c>
      <c r="J815" t="s">
        <v>12227</v>
      </c>
      <c r="K815" t="s">
        <v>74</v>
      </c>
      <c r="L815" t="s">
        <v>74</v>
      </c>
      <c r="M815" t="s">
        <v>78</v>
      </c>
      <c r="N815" t="s">
        <v>79</v>
      </c>
      <c r="O815" t="s">
        <v>74</v>
      </c>
      <c r="P815" t="s">
        <v>74</v>
      </c>
      <c r="Q815" t="s">
        <v>74</v>
      </c>
      <c r="R815" t="s">
        <v>74</v>
      </c>
      <c r="S815" t="s">
        <v>74</v>
      </c>
      <c r="T815" t="s">
        <v>74</v>
      </c>
      <c r="U815" t="s">
        <v>12228</v>
      </c>
      <c r="V815" t="s">
        <v>12229</v>
      </c>
      <c r="W815" t="s">
        <v>12230</v>
      </c>
      <c r="X815" t="s">
        <v>12231</v>
      </c>
      <c r="Y815" t="s">
        <v>12232</v>
      </c>
      <c r="Z815" t="s">
        <v>74</v>
      </c>
      <c r="AA815" t="s">
        <v>12233</v>
      </c>
      <c r="AB815" t="s">
        <v>12234</v>
      </c>
      <c r="AC815" t="s">
        <v>74</v>
      </c>
      <c r="AD815" t="s">
        <v>74</v>
      </c>
      <c r="AE815" t="s">
        <v>74</v>
      </c>
      <c r="AF815" t="s">
        <v>74</v>
      </c>
      <c r="AG815">
        <v>49</v>
      </c>
      <c r="AH815">
        <v>63</v>
      </c>
      <c r="AI815">
        <v>70</v>
      </c>
      <c r="AJ815">
        <v>1</v>
      </c>
      <c r="AK815">
        <v>14</v>
      </c>
      <c r="AL815" t="s">
        <v>115</v>
      </c>
      <c r="AM815" t="s">
        <v>116</v>
      </c>
      <c r="AN815" t="s">
        <v>117</v>
      </c>
      <c r="AO815" t="s">
        <v>12235</v>
      </c>
      <c r="AP815" t="s">
        <v>74</v>
      </c>
      <c r="AQ815" t="s">
        <v>74</v>
      </c>
      <c r="AR815" t="s">
        <v>12236</v>
      </c>
      <c r="AS815" t="s">
        <v>12237</v>
      </c>
      <c r="AT815" t="s">
        <v>11510</v>
      </c>
      <c r="AU815">
        <v>2006</v>
      </c>
      <c r="AV815">
        <v>4</v>
      </c>
      <c r="AW815" t="s">
        <v>74</v>
      </c>
      <c r="AX815" t="s">
        <v>74</v>
      </c>
      <c r="AY815" t="s">
        <v>74</v>
      </c>
      <c r="AZ815" t="s">
        <v>74</v>
      </c>
      <c r="BA815" t="s">
        <v>74</v>
      </c>
      <c r="BB815">
        <v>18</v>
      </c>
      <c r="BC815">
        <v>29</v>
      </c>
      <c r="BD815" t="s">
        <v>74</v>
      </c>
      <c r="BE815" t="s">
        <v>12238</v>
      </c>
      <c r="BF815" t="str">
        <f>HYPERLINK("http://dx.doi.org/10.4319/lom.2006.4.18","http://dx.doi.org/10.4319/lom.2006.4.18")</f>
        <v>http://dx.doi.org/10.4319/lom.2006.4.18</v>
      </c>
      <c r="BG815" t="s">
        <v>74</v>
      </c>
      <c r="BH815" t="s">
        <v>74</v>
      </c>
      <c r="BI815">
        <v>12</v>
      </c>
      <c r="BJ815" t="s">
        <v>3283</v>
      </c>
      <c r="BK815" t="s">
        <v>97</v>
      </c>
      <c r="BL815" t="s">
        <v>3284</v>
      </c>
      <c r="BM815" t="s">
        <v>12239</v>
      </c>
      <c r="BN815" t="s">
        <v>74</v>
      </c>
      <c r="BO815" t="s">
        <v>460</v>
      </c>
      <c r="BP815" t="s">
        <v>74</v>
      </c>
      <c r="BQ815" t="s">
        <v>74</v>
      </c>
      <c r="BR815" t="s">
        <v>100</v>
      </c>
      <c r="BS815" t="s">
        <v>12240</v>
      </c>
      <c r="BT815" t="str">
        <f>HYPERLINK("https%3A%2F%2Fwww.webofscience.com%2Fwos%2Fwoscc%2Ffull-record%2FWOS:000236714200002","View Full Record in Web of Science")</f>
        <v>View Full Record in Web of Science</v>
      </c>
    </row>
    <row r="816" spans="1:72" x14ac:dyDescent="0.15">
      <c r="A816" t="s">
        <v>72</v>
      </c>
      <c r="B816" t="s">
        <v>12241</v>
      </c>
      <c r="C816" t="s">
        <v>74</v>
      </c>
      <c r="D816" t="s">
        <v>74</v>
      </c>
      <c r="E816" t="s">
        <v>74</v>
      </c>
      <c r="F816" t="s">
        <v>12241</v>
      </c>
      <c r="G816" t="s">
        <v>74</v>
      </c>
      <c r="H816" t="s">
        <v>74</v>
      </c>
      <c r="I816" t="s">
        <v>12242</v>
      </c>
      <c r="J816" t="s">
        <v>12243</v>
      </c>
      <c r="K816" t="s">
        <v>74</v>
      </c>
      <c r="L816" t="s">
        <v>74</v>
      </c>
      <c r="M816" t="s">
        <v>78</v>
      </c>
      <c r="N816" t="s">
        <v>79</v>
      </c>
      <c r="O816" t="s">
        <v>74</v>
      </c>
      <c r="P816" t="s">
        <v>74</v>
      </c>
      <c r="Q816" t="s">
        <v>74</v>
      </c>
      <c r="R816" t="s">
        <v>74</v>
      </c>
      <c r="S816" t="s">
        <v>74</v>
      </c>
      <c r="T816" t="s">
        <v>12244</v>
      </c>
      <c r="U816" t="s">
        <v>12245</v>
      </c>
      <c r="V816" t="s">
        <v>12246</v>
      </c>
      <c r="W816" t="s">
        <v>12247</v>
      </c>
      <c r="X816" t="s">
        <v>12248</v>
      </c>
      <c r="Y816" t="s">
        <v>12249</v>
      </c>
      <c r="Z816" t="s">
        <v>12250</v>
      </c>
      <c r="AA816" t="s">
        <v>12251</v>
      </c>
      <c r="AB816" t="s">
        <v>12252</v>
      </c>
      <c r="AC816" t="s">
        <v>12253</v>
      </c>
      <c r="AD816" t="s">
        <v>1328</v>
      </c>
      <c r="AE816" t="s">
        <v>74</v>
      </c>
      <c r="AF816" t="s">
        <v>74</v>
      </c>
      <c r="AG816">
        <v>37</v>
      </c>
      <c r="AH816">
        <v>38</v>
      </c>
      <c r="AI816">
        <v>44</v>
      </c>
      <c r="AJ816">
        <v>0</v>
      </c>
      <c r="AK816">
        <v>14</v>
      </c>
      <c r="AL816" t="s">
        <v>2630</v>
      </c>
      <c r="AM816" t="s">
        <v>388</v>
      </c>
      <c r="AN816" t="s">
        <v>2631</v>
      </c>
      <c r="AO816" t="s">
        <v>12254</v>
      </c>
      <c r="AP816" t="s">
        <v>12255</v>
      </c>
      <c r="AQ816" t="s">
        <v>74</v>
      </c>
      <c r="AR816" t="s">
        <v>12256</v>
      </c>
      <c r="AS816" t="s">
        <v>12257</v>
      </c>
      <c r="AT816" t="s">
        <v>11510</v>
      </c>
      <c r="AU816">
        <v>2006</v>
      </c>
      <c r="AV816">
        <v>23</v>
      </c>
      <c r="AW816">
        <v>2</v>
      </c>
      <c r="AX816" t="s">
        <v>74</v>
      </c>
      <c r="AY816" t="s">
        <v>74</v>
      </c>
      <c r="AZ816" t="s">
        <v>74</v>
      </c>
      <c r="BA816" t="s">
        <v>74</v>
      </c>
      <c r="BB816">
        <v>165</v>
      </c>
      <c r="BC816">
        <v>181</v>
      </c>
      <c r="BD816" t="s">
        <v>74</v>
      </c>
      <c r="BE816" t="s">
        <v>12258</v>
      </c>
      <c r="BF816" t="str">
        <f>HYPERLINK("http://dx.doi.org/10.1016/j.marpetgeo.2005.08.003","http://dx.doi.org/10.1016/j.marpetgeo.2005.08.003")</f>
        <v>http://dx.doi.org/10.1016/j.marpetgeo.2005.08.003</v>
      </c>
      <c r="BG816" t="s">
        <v>74</v>
      </c>
      <c r="BH816" t="s">
        <v>74</v>
      </c>
      <c r="BI816">
        <v>17</v>
      </c>
      <c r="BJ816" t="s">
        <v>527</v>
      </c>
      <c r="BK816" t="s">
        <v>97</v>
      </c>
      <c r="BL816" t="s">
        <v>528</v>
      </c>
      <c r="BM816" t="s">
        <v>12259</v>
      </c>
      <c r="BN816" t="s">
        <v>74</v>
      </c>
      <c r="BO816" t="s">
        <v>74</v>
      </c>
      <c r="BP816" t="s">
        <v>74</v>
      </c>
      <c r="BQ816" t="s">
        <v>74</v>
      </c>
      <c r="BR816" t="s">
        <v>100</v>
      </c>
      <c r="BS816" t="s">
        <v>12260</v>
      </c>
      <c r="BT816" t="str">
        <f>HYPERLINK("https%3A%2F%2Fwww.webofscience.com%2Fwos%2Fwoscc%2Ffull-record%2FWOS:000235701200002","View Full Record in Web of Science")</f>
        <v>View Full Record in Web of Science</v>
      </c>
    </row>
    <row r="817" spans="1:72" x14ac:dyDescent="0.15">
      <c r="A817" t="s">
        <v>72</v>
      </c>
      <c r="B817" t="s">
        <v>12261</v>
      </c>
      <c r="C817" t="s">
        <v>74</v>
      </c>
      <c r="D817" t="s">
        <v>74</v>
      </c>
      <c r="E817" t="s">
        <v>74</v>
      </c>
      <c r="F817" t="s">
        <v>12261</v>
      </c>
      <c r="G817" t="s">
        <v>74</v>
      </c>
      <c r="H817" t="s">
        <v>74</v>
      </c>
      <c r="I817" t="s">
        <v>12262</v>
      </c>
      <c r="J817" t="s">
        <v>3290</v>
      </c>
      <c r="K817" t="s">
        <v>74</v>
      </c>
      <c r="L817" t="s">
        <v>74</v>
      </c>
      <c r="M817" t="s">
        <v>78</v>
      </c>
      <c r="N817" t="s">
        <v>79</v>
      </c>
      <c r="O817" t="s">
        <v>74</v>
      </c>
      <c r="P817" t="s">
        <v>74</v>
      </c>
      <c r="Q817" t="s">
        <v>74</v>
      </c>
      <c r="R817" t="s">
        <v>74</v>
      </c>
      <c r="S817" t="s">
        <v>74</v>
      </c>
      <c r="T817" t="s">
        <v>74</v>
      </c>
      <c r="U817" t="s">
        <v>12263</v>
      </c>
      <c r="V817" t="s">
        <v>12264</v>
      </c>
      <c r="W817" t="s">
        <v>12265</v>
      </c>
      <c r="X817" t="s">
        <v>12266</v>
      </c>
      <c r="Y817" t="s">
        <v>12267</v>
      </c>
      <c r="Z817" t="s">
        <v>12268</v>
      </c>
      <c r="AA817" t="s">
        <v>12269</v>
      </c>
      <c r="AB817" t="s">
        <v>12270</v>
      </c>
      <c r="AC817" t="s">
        <v>74</v>
      </c>
      <c r="AD817" t="s">
        <v>74</v>
      </c>
      <c r="AE817" t="s">
        <v>74</v>
      </c>
      <c r="AF817" t="s">
        <v>74</v>
      </c>
      <c r="AG817">
        <v>42</v>
      </c>
      <c r="AH817">
        <v>57</v>
      </c>
      <c r="AI817">
        <v>65</v>
      </c>
      <c r="AJ817">
        <v>1</v>
      </c>
      <c r="AK817">
        <v>22</v>
      </c>
      <c r="AL817" t="s">
        <v>994</v>
      </c>
      <c r="AM817" t="s">
        <v>476</v>
      </c>
      <c r="AN817" t="s">
        <v>995</v>
      </c>
      <c r="AO817" t="s">
        <v>3297</v>
      </c>
      <c r="AP817" t="s">
        <v>74</v>
      </c>
      <c r="AQ817" t="s">
        <v>74</v>
      </c>
      <c r="AR817" t="s">
        <v>3299</v>
      </c>
      <c r="AS817" t="s">
        <v>3300</v>
      </c>
      <c r="AT817" t="s">
        <v>11510</v>
      </c>
      <c r="AU817">
        <v>2006</v>
      </c>
      <c r="AV817">
        <v>148</v>
      </c>
      <c r="AW817">
        <v>4</v>
      </c>
      <c r="AX817" t="s">
        <v>74</v>
      </c>
      <c r="AY817" t="s">
        <v>74</v>
      </c>
      <c r="AZ817" t="s">
        <v>74</v>
      </c>
      <c r="BA817" t="s">
        <v>74</v>
      </c>
      <c r="BB817">
        <v>789</v>
      </c>
      <c r="BC817">
        <v>798</v>
      </c>
      <c r="BD817" t="s">
        <v>74</v>
      </c>
      <c r="BE817" t="s">
        <v>12271</v>
      </c>
      <c r="BF817" t="str">
        <f>HYPERLINK("http://dx.doi.org/10.1007/s00227-005-0124-0","http://dx.doi.org/10.1007/s00227-005-0124-0")</f>
        <v>http://dx.doi.org/10.1007/s00227-005-0124-0</v>
      </c>
      <c r="BG817" t="s">
        <v>74</v>
      </c>
      <c r="BH817" t="s">
        <v>74</v>
      </c>
      <c r="BI817">
        <v>10</v>
      </c>
      <c r="BJ817" t="s">
        <v>1146</v>
      </c>
      <c r="BK817" t="s">
        <v>97</v>
      </c>
      <c r="BL817" t="s">
        <v>1146</v>
      </c>
      <c r="BM817" t="s">
        <v>12272</v>
      </c>
      <c r="BN817" t="s">
        <v>74</v>
      </c>
      <c r="BO817" t="s">
        <v>74</v>
      </c>
      <c r="BP817" t="s">
        <v>74</v>
      </c>
      <c r="BQ817" t="s">
        <v>74</v>
      </c>
      <c r="BR817" t="s">
        <v>100</v>
      </c>
      <c r="BS817" t="s">
        <v>12273</v>
      </c>
      <c r="BT817" t="str">
        <f>HYPERLINK("https%3A%2F%2Fwww.webofscience.com%2Fwos%2Fwoscc%2Ffull-record%2FWOS:000235058600009","View Full Record in Web of Science")</f>
        <v>View Full Record in Web of Science</v>
      </c>
    </row>
    <row r="818" spans="1:72" x14ac:dyDescent="0.15">
      <c r="A818" t="s">
        <v>72</v>
      </c>
      <c r="B818" t="s">
        <v>12274</v>
      </c>
      <c r="C818" t="s">
        <v>74</v>
      </c>
      <c r="D818" t="s">
        <v>74</v>
      </c>
      <c r="E818" t="s">
        <v>74</v>
      </c>
      <c r="F818" t="s">
        <v>12274</v>
      </c>
      <c r="G818" t="s">
        <v>74</v>
      </c>
      <c r="H818" t="s">
        <v>74</v>
      </c>
      <c r="I818" t="s">
        <v>12275</v>
      </c>
      <c r="J818" t="s">
        <v>1225</v>
      </c>
      <c r="K818" t="s">
        <v>74</v>
      </c>
      <c r="L818" t="s">
        <v>74</v>
      </c>
      <c r="M818" t="s">
        <v>78</v>
      </c>
      <c r="N818" t="s">
        <v>79</v>
      </c>
      <c r="O818" t="s">
        <v>74</v>
      </c>
      <c r="P818" t="s">
        <v>74</v>
      </c>
      <c r="Q818" t="s">
        <v>74</v>
      </c>
      <c r="R818" t="s">
        <v>74</v>
      </c>
      <c r="S818" t="s">
        <v>74</v>
      </c>
      <c r="T818" t="s">
        <v>12276</v>
      </c>
      <c r="U818" t="s">
        <v>12277</v>
      </c>
      <c r="V818" t="s">
        <v>12278</v>
      </c>
      <c r="W818" t="s">
        <v>12279</v>
      </c>
      <c r="X818" t="s">
        <v>12280</v>
      </c>
      <c r="Y818" t="s">
        <v>12281</v>
      </c>
      <c r="Z818" t="s">
        <v>12282</v>
      </c>
      <c r="AA818" t="s">
        <v>74</v>
      </c>
      <c r="AB818" t="s">
        <v>12283</v>
      </c>
      <c r="AC818" t="s">
        <v>74</v>
      </c>
      <c r="AD818" t="s">
        <v>74</v>
      </c>
      <c r="AE818" t="s">
        <v>74</v>
      </c>
      <c r="AF818" t="s">
        <v>74</v>
      </c>
      <c r="AG818">
        <v>54</v>
      </c>
      <c r="AH818">
        <v>92</v>
      </c>
      <c r="AI818">
        <v>102</v>
      </c>
      <c r="AJ818">
        <v>0</v>
      </c>
      <c r="AK818">
        <v>17</v>
      </c>
      <c r="AL818" t="s">
        <v>1261</v>
      </c>
      <c r="AM818" t="s">
        <v>520</v>
      </c>
      <c r="AN818" t="s">
        <v>1262</v>
      </c>
      <c r="AO818" t="s">
        <v>1239</v>
      </c>
      <c r="AP818" t="s">
        <v>1240</v>
      </c>
      <c r="AQ818" t="s">
        <v>74</v>
      </c>
      <c r="AR818" t="s">
        <v>1241</v>
      </c>
      <c r="AS818" t="s">
        <v>1242</v>
      </c>
      <c r="AT818" t="s">
        <v>12074</v>
      </c>
      <c r="AU818">
        <v>2006</v>
      </c>
      <c r="AV818">
        <v>98</v>
      </c>
      <c r="AW818" t="s">
        <v>9264</v>
      </c>
      <c r="AX818" t="s">
        <v>74</v>
      </c>
      <c r="AY818" t="s">
        <v>74</v>
      </c>
      <c r="AZ818" t="s">
        <v>74</v>
      </c>
      <c r="BA818" t="s">
        <v>74</v>
      </c>
      <c r="BB818">
        <v>210</v>
      </c>
      <c r="BC818">
        <v>222</v>
      </c>
      <c r="BD818" t="s">
        <v>74</v>
      </c>
      <c r="BE818" t="s">
        <v>12284</v>
      </c>
      <c r="BF818" t="str">
        <f>HYPERLINK("http://dx.doi.org/10.1016/j.marchem.2005.09.005","http://dx.doi.org/10.1016/j.marchem.2005.09.005")</f>
        <v>http://dx.doi.org/10.1016/j.marchem.2005.09.005</v>
      </c>
      <c r="BG818" t="s">
        <v>74</v>
      </c>
      <c r="BH818" t="s">
        <v>74</v>
      </c>
      <c r="BI818">
        <v>13</v>
      </c>
      <c r="BJ818" t="s">
        <v>1245</v>
      </c>
      <c r="BK818" t="s">
        <v>97</v>
      </c>
      <c r="BL818" t="s">
        <v>1246</v>
      </c>
      <c r="BM818" t="s">
        <v>12285</v>
      </c>
      <c r="BN818" t="s">
        <v>74</v>
      </c>
      <c r="BO818" t="s">
        <v>74</v>
      </c>
      <c r="BP818" t="s">
        <v>74</v>
      </c>
      <c r="BQ818" t="s">
        <v>74</v>
      </c>
      <c r="BR818" t="s">
        <v>100</v>
      </c>
      <c r="BS818" t="s">
        <v>12286</v>
      </c>
      <c r="BT818" t="str">
        <f>HYPERLINK("https%3A%2F%2Fwww.webofscience.com%2Fwos%2Fwoscc%2Ffull-record%2FWOS:000234949600010","View Full Record in Web of Science")</f>
        <v>View Full Record in Web of Science</v>
      </c>
    </row>
    <row r="819" spans="1:72" x14ac:dyDescent="0.15">
      <c r="A819" t="s">
        <v>72</v>
      </c>
      <c r="B819" t="s">
        <v>12287</v>
      </c>
      <c r="C819" t="s">
        <v>74</v>
      </c>
      <c r="D819" t="s">
        <v>74</v>
      </c>
      <c r="E819" t="s">
        <v>74</v>
      </c>
      <c r="F819" t="s">
        <v>12287</v>
      </c>
      <c r="G819" t="s">
        <v>74</v>
      </c>
      <c r="H819" t="s">
        <v>74</v>
      </c>
      <c r="I819" t="s">
        <v>12288</v>
      </c>
      <c r="J819" t="s">
        <v>1317</v>
      </c>
      <c r="K819" t="s">
        <v>74</v>
      </c>
      <c r="L819" t="s">
        <v>74</v>
      </c>
      <c r="M819" t="s">
        <v>78</v>
      </c>
      <c r="N819" t="s">
        <v>79</v>
      </c>
      <c r="O819" t="s">
        <v>74</v>
      </c>
      <c r="P819" t="s">
        <v>74</v>
      </c>
      <c r="Q819" t="s">
        <v>74</v>
      </c>
      <c r="R819" t="s">
        <v>74</v>
      </c>
      <c r="S819" t="s">
        <v>74</v>
      </c>
      <c r="T819" t="s">
        <v>12289</v>
      </c>
      <c r="U819" t="s">
        <v>12290</v>
      </c>
      <c r="V819" t="s">
        <v>12291</v>
      </c>
      <c r="W819" t="s">
        <v>12292</v>
      </c>
      <c r="X819" t="s">
        <v>1322</v>
      </c>
      <c r="Y819" t="s">
        <v>12293</v>
      </c>
      <c r="Z819" t="s">
        <v>12294</v>
      </c>
      <c r="AA819" t="s">
        <v>1325</v>
      </c>
      <c r="AB819" t="s">
        <v>1326</v>
      </c>
      <c r="AC819" t="s">
        <v>1518</v>
      </c>
      <c r="AD819" t="s">
        <v>413</v>
      </c>
      <c r="AE819" t="s">
        <v>74</v>
      </c>
      <c r="AF819" t="s">
        <v>74</v>
      </c>
      <c r="AG819">
        <v>20</v>
      </c>
      <c r="AH819">
        <v>26</v>
      </c>
      <c r="AI819">
        <v>27</v>
      </c>
      <c r="AJ819">
        <v>0</v>
      </c>
      <c r="AK819">
        <v>0</v>
      </c>
      <c r="AL819" t="s">
        <v>580</v>
      </c>
      <c r="AM819" t="s">
        <v>388</v>
      </c>
      <c r="AN819" t="s">
        <v>581</v>
      </c>
      <c r="AO819" t="s">
        <v>1329</v>
      </c>
      <c r="AP819" t="s">
        <v>1330</v>
      </c>
      <c r="AQ819" t="s">
        <v>74</v>
      </c>
      <c r="AR819" t="s">
        <v>1331</v>
      </c>
      <c r="AS819" t="s">
        <v>1332</v>
      </c>
      <c r="AT819" t="s">
        <v>11510</v>
      </c>
      <c r="AU819">
        <v>2006</v>
      </c>
      <c r="AV819">
        <v>44</v>
      </c>
      <c r="AW819">
        <v>1</v>
      </c>
      <c r="AX819" t="s">
        <v>74</v>
      </c>
      <c r="AY819" t="s">
        <v>74</v>
      </c>
      <c r="AZ819" t="s">
        <v>74</v>
      </c>
      <c r="BA819" t="s">
        <v>74</v>
      </c>
      <c r="BB819">
        <v>33</v>
      </c>
      <c r="BC819">
        <v>39</v>
      </c>
      <c r="BD819" t="s">
        <v>74</v>
      </c>
      <c r="BE819" t="s">
        <v>12295</v>
      </c>
      <c r="BF819" t="str">
        <f>HYPERLINK("http://dx.doi.org/10.1080/13693780500179678","http://dx.doi.org/10.1080/13693780500179678")</f>
        <v>http://dx.doi.org/10.1080/13693780500179678</v>
      </c>
      <c r="BG819" t="s">
        <v>74</v>
      </c>
      <c r="BH819" t="s">
        <v>74</v>
      </c>
      <c r="BI819">
        <v>7</v>
      </c>
      <c r="BJ819" t="s">
        <v>1334</v>
      </c>
      <c r="BK819" t="s">
        <v>97</v>
      </c>
      <c r="BL819" t="s">
        <v>1334</v>
      </c>
      <c r="BM819" t="s">
        <v>12296</v>
      </c>
      <c r="BN819">
        <v>16805091</v>
      </c>
      <c r="BO819" t="s">
        <v>460</v>
      </c>
      <c r="BP819" t="s">
        <v>74</v>
      </c>
      <c r="BQ819" t="s">
        <v>74</v>
      </c>
      <c r="BR819" t="s">
        <v>100</v>
      </c>
      <c r="BS819" t="s">
        <v>12297</v>
      </c>
      <c r="BT819" t="str">
        <f>HYPERLINK("https%3A%2F%2Fwww.webofscience.com%2Fwos%2Fwoscc%2Ffull-record%2FWOS:000235382600005","View Full Record in Web of Science")</f>
        <v>View Full Record in Web of Science</v>
      </c>
    </row>
    <row r="820" spans="1:72" x14ac:dyDescent="0.15">
      <c r="A820" t="s">
        <v>72</v>
      </c>
      <c r="B820" t="s">
        <v>12298</v>
      </c>
      <c r="C820" t="s">
        <v>74</v>
      </c>
      <c r="D820" t="s">
        <v>74</v>
      </c>
      <c r="E820" t="s">
        <v>74</v>
      </c>
      <c r="F820" t="s">
        <v>12298</v>
      </c>
      <c r="G820" t="s">
        <v>74</v>
      </c>
      <c r="H820" t="s">
        <v>74</v>
      </c>
      <c r="I820" t="s">
        <v>12299</v>
      </c>
      <c r="J820" t="s">
        <v>12300</v>
      </c>
      <c r="K820" t="s">
        <v>74</v>
      </c>
      <c r="L820" t="s">
        <v>74</v>
      </c>
      <c r="M820" t="s">
        <v>78</v>
      </c>
      <c r="N820" t="s">
        <v>79</v>
      </c>
      <c r="O820" t="s">
        <v>74</v>
      </c>
      <c r="P820" t="s">
        <v>74</v>
      </c>
      <c r="Q820" t="s">
        <v>74</v>
      </c>
      <c r="R820" t="s">
        <v>74</v>
      </c>
      <c r="S820" t="s">
        <v>74</v>
      </c>
      <c r="T820" t="s">
        <v>74</v>
      </c>
      <c r="U820" t="s">
        <v>12301</v>
      </c>
      <c r="V820" t="s">
        <v>12302</v>
      </c>
      <c r="W820" t="s">
        <v>12303</v>
      </c>
      <c r="X820" t="s">
        <v>12304</v>
      </c>
      <c r="Y820" t="s">
        <v>12305</v>
      </c>
      <c r="Z820" t="s">
        <v>12306</v>
      </c>
      <c r="AA820" t="s">
        <v>12307</v>
      </c>
      <c r="AB820" t="s">
        <v>12308</v>
      </c>
      <c r="AC820" t="s">
        <v>74</v>
      </c>
      <c r="AD820" t="s">
        <v>74</v>
      </c>
      <c r="AE820" t="s">
        <v>74</v>
      </c>
      <c r="AF820" t="s">
        <v>74</v>
      </c>
      <c r="AG820">
        <v>65</v>
      </c>
      <c r="AH820">
        <v>27</v>
      </c>
      <c r="AI820">
        <v>30</v>
      </c>
      <c r="AJ820">
        <v>0</v>
      </c>
      <c r="AK820">
        <v>6</v>
      </c>
      <c r="AL820" t="s">
        <v>5213</v>
      </c>
      <c r="AM820" t="s">
        <v>557</v>
      </c>
      <c r="AN820" t="s">
        <v>5214</v>
      </c>
      <c r="AO820" t="s">
        <v>12309</v>
      </c>
      <c r="AP820" t="s">
        <v>12310</v>
      </c>
      <c r="AQ820" t="s">
        <v>74</v>
      </c>
      <c r="AR820" t="s">
        <v>12311</v>
      </c>
      <c r="AS820" t="s">
        <v>12312</v>
      </c>
      <c r="AT820" t="s">
        <v>11510</v>
      </c>
      <c r="AU820">
        <v>2006</v>
      </c>
      <c r="AV820">
        <v>152</v>
      </c>
      <c r="AW820" t="s">
        <v>74</v>
      </c>
      <c r="AX820">
        <v>2</v>
      </c>
      <c r="AY820" t="s">
        <v>74</v>
      </c>
      <c r="AZ820" t="s">
        <v>74</v>
      </c>
      <c r="BA820" t="s">
        <v>74</v>
      </c>
      <c r="BB820">
        <v>505</v>
      </c>
      <c r="BC820">
        <v>517</v>
      </c>
      <c r="BD820" t="s">
        <v>74</v>
      </c>
      <c r="BE820" t="s">
        <v>12313</v>
      </c>
      <c r="BF820" t="str">
        <f>HYPERLINK("http://dx.doi.org/10.1099/mic.0.28254-0","http://dx.doi.org/10.1099/mic.0.28254-0")</f>
        <v>http://dx.doi.org/10.1099/mic.0.28254-0</v>
      </c>
      <c r="BG820" t="s">
        <v>74</v>
      </c>
      <c r="BH820" t="s">
        <v>74</v>
      </c>
      <c r="BI820">
        <v>13</v>
      </c>
      <c r="BJ820" t="s">
        <v>587</v>
      </c>
      <c r="BK820" t="s">
        <v>97</v>
      </c>
      <c r="BL820" t="s">
        <v>587</v>
      </c>
      <c r="BM820" t="s">
        <v>12314</v>
      </c>
      <c r="BN820">
        <v>16436438</v>
      </c>
      <c r="BO820" t="s">
        <v>460</v>
      </c>
      <c r="BP820" t="s">
        <v>74</v>
      </c>
      <c r="BQ820" t="s">
        <v>74</v>
      </c>
      <c r="BR820" t="s">
        <v>100</v>
      </c>
      <c r="BS820" t="s">
        <v>12315</v>
      </c>
      <c r="BT820" t="str">
        <f>HYPERLINK("https%3A%2F%2Fwww.webofscience.com%2Fwos%2Fwoscc%2Ffull-record%2FWOS:000235272400024","View Full Record in Web of Science")</f>
        <v>View Full Record in Web of Science</v>
      </c>
    </row>
    <row r="821" spans="1:72" x14ac:dyDescent="0.15">
      <c r="A821" t="s">
        <v>72</v>
      </c>
      <c r="B821" t="s">
        <v>12316</v>
      </c>
      <c r="C821" t="s">
        <v>74</v>
      </c>
      <c r="D821" t="s">
        <v>74</v>
      </c>
      <c r="E821" t="s">
        <v>74</v>
      </c>
      <c r="F821" t="s">
        <v>12316</v>
      </c>
      <c r="G821" t="s">
        <v>74</v>
      </c>
      <c r="H821" t="s">
        <v>74</v>
      </c>
      <c r="I821" t="s">
        <v>12317</v>
      </c>
      <c r="J821" t="s">
        <v>12318</v>
      </c>
      <c r="K821" t="s">
        <v>74</v>
      </c>
      <c r="L821" t="s">
        <v>74</v>
      </c>
      <c r="M821" t="s">
        <v>78</v>
      </c>
      <c r="N821" t="s">
        <v>79</v>
      </c>
      <c r="O821" t="s">
        <v>74</v>
      </c>
      <c r="P821" t="s">
        <v>74</v>
      </c>
      <c r="Q821" t="s">
        <v>74</v>
      </c>
      <c r="R821" t="s">
        <v>74</v>
      </c>
      <c r="S821" t="s">
        <v>74</v>
      </c>
      <c r="T821" t="s">
        <v>74</v>
      </c>
      <c r="U821" t="s">
        <v>12319</v>
      </c>
      <c r="V821" t="s">
        <v>12320</v>
      </c>
      <c r="W821" t="s">
        <v>12321</v>
      </c>
      <c r="X821" t="s">
        <v>12322</v>
      </c>
      <c r="Y821" t="s">
        <v>12323</v>
      </c>
      <c r="Z821" t="s">
        <v>12324</v>
      </c>
      <c r="AA821" t="s">
        <v>12325</v>
      </c>
      <c r="AB821" t="s">
        <v>12326</v>
      </c>
      <c r="AC821" t="s">
        <v>74</v>
      </c>
      <c r="AD821" t="s">
        <v>74</v>
      </c>
      <c r="AE821" t="s">
        <v>74</v>
      </c>
      <c r="AF821" t="s">
        <v>74</v>
      </c>
      <c r="AG821">
        <v>60</v>
      </c>
      <c r="AH821">
        <v>39</v>
      </c>
      <c r="AI821">
        <v>41</v>
      </c>
      <c r="AJ821">
        <v>0</v>
      </c>
      <c r="AK821">
        <v>8</v>
      </c>
      <c r="AL821" t="s">
        <v>861</v>
      </c>
      <c r="AM821" t="s">
        <v>862</v>
      </c>
      <c r="AN821" t="s">
        <v>863</v>
      </c>
      <c r="AO821" t="s">
        <v>12327</v>
      </c>
      <c r="AP821" t="s">
        <v>12328</v>
      </c>
      <c r="AQ821" t="s">
        <v>74</v>
      </c>
      <c r="AR821" t="s">
        <v>12329</v>
      </c>
      <c r="AS821" t="s">
        <v>12330</v>
      </c>
      <c r="AT821" t="s">
        <v>11510</v>
      </c>
      <c r="AU821">
        <v>2006</v>
      </c>
      <c r="AV821">
        <v>134</v>
      </c>
      <c r="AW821">
        <v>2</v>
      </c>
      <c r="AX821" t="s">
        <v>74</v>
      </c>
      <c r="AY821" t="s">
        <v>74</v>
      </c>
      <c r="AZ821" t="s">
        <v>74</v>
      </c>
      <c r="BA821" t="s">
        <v>74</v>
      </c>
      <c r="BB821">
        <v>498</v>
      </c>
      <c r="BC821">
        <v>518</v>
      </c>
      <c r="BD821" t="s">
        <v>74</v>
      </c>
      <c r="BE821" t="s">
        <v>12331</v>
      </c>
      <c r="BF821" t="str">
        <f>HYPERLINK("http://dx.doi.org/10.1175/MWR3086.1","http://dx.doi.org/10.1175/MWR3086.1")</f>
        <v>http://dx.doi.org/10.1175/MWR3086.1</v>
      </c>
      <c r="BG821" t="s">
        <v>74</v>
      </c>
      <c r="BH821" t="s">
        <v>74</v>
      </c>
      <c r="BI821">
        <v>21</v>
      </c>
      <c r="BJ821" t="s">
        <v>869</v>
      </c>
      <c r="BK821" t="s">
        <v>97</v>
      </c>
      <c r="BL821" t="s">
        <v>869</v>
      </c>
      <c r="BM821" t="s">
        <v>12332</v>
      </c>
      <c r="BN821" t="s">
        <v>74</v>
      </c>
      <c r="BO821" t="s">
        <v>460</v>
      </c>
      <c r="BP821" t="s">
        <v>74</v>
      </c>
      <c r="BQ821" t="s">
        <v>74</v>
      </c>
      <c r="BR821" t="s">
        <v>100</v>
      </c>
      <c r="BS821" t="s">
        <v>12333</v>
      </c>
      <c r="BT821" t="str">
        <f>HYPERLINK("https%3A%2F%2Fwww.webofscience.com%2Fwos%2Fwoscc%2Ffull-record%2FWOS:000235844700004","View Full Record in Web of Science")</f>
        <v>View Full Record in Web of Science</v>
      </c>
    </row>
    <row r="822" spans="1:72" x14ac:dyDescent="0.15">
      <c r="A822" t="s">
        <v>72</v>
      </c>
      <c r="B822" t="s">
        <v>12334</v>
      </c>
      <c r="C822" t="s">
        <v>74</v>
      </c>
      <c r="D822" t="s">
        <v>74</v>
      </c>
      <c r="E822" t="s">
        <v>74</v>
      </c>
      <c r="F822" t="s">
        <v>12334</v>
      </c>
      <c r="G822" t="s">
        <v>74</v>
      </c>
      <c r="H822" t="s">
        <v>74</v>
      </c>
      <c r="I822" t="s">
        <v>12335</v>
      </c>
      <c r="J822" t="s">
        <v>12336</v>
      </c>
      <c r="K822" t="s">
        <v>74</v>
      </c>
      <c r="L822" t="s">
        <v>74</v>
      </c>
      <c r="M822" t="s">
        <v>78</v>
      </c>
      <c r="N822" t="s">
        <v>79</v>
      </c>
      <c r="O822" t="s">
        <v>74</v>
      </c>
      <c r="P822" t="s">
        <v>74</v>
      </c>
      <c r="Q822" t="s">
        <v>74</v>
      </c>
      <c r="R822" t="s">
        <v>74</v>
      </c>
      <c r="S822" t="s">
        <v>74</v>
      </c>
      <c r="T822" t="s">
        <v>12337</v>
      </c>
      <c r="U822" t="s">
        <v>12338</v>
      </c>
      <c r="V822" t="s">
        <v>12339</v>
      </c>
      <c r="W822" t="s">
        <v>12340</v>
      </c>
      <c r="X822" t="s">
        <v>12341</v>
      </c>
      <c r="Y822" t="s">
        <v>12342</v>
      </c>
      <c r="Z822" t="s">
        <v>12343</v>
      </c>
      <c r="AA822" t="s">
        <v>74</v>
      </c>
      <c r="AB822" t="s">
        <v>74</v>
      </c>
      <c r="AC822" t="s">
        <v>74</v>
      </c>
      <c r="AD822" t="s">
        <v>74</v>
      </c>
      <c r="AE822" t="s">
        <v>74</v>
      </c>
      <c r="AF822" t="s">
        <v>74</v>
      </c>
      <c r="AG822">
        <v>15</v>
      </c>
      <c r="AH822">
        <v>30</v>
      </c>
      <c r="AI822">
        <v>32</v>
      </c>
      <c r="AJ822">
        <v>0</v>
      </c>
      <c r="AK822">
        <v>4</v>
      </c>
      <c r="AL822" t="s">
        <v>12344</v>
      </c>
      <c r="AM822" t="s">
        <v>12345</v>
      </c>
      <c r="AN822" t="s">
        <v>12346</v>
      </c>
      <c r="AO822" t="s">
        <v>12347</v>
      </c>
      <c r="AP822" t="s">
        <v>74</v>
      </c>
      <c r="AQ822" t="s">
        <v>74</v>
      </c>
      <c r="AR822" t="s">
        <v>12336</v>
      </c>
      <c r="AS822" t="s">
        <v>12348</v>
      </c>
      <c r="AT822" t="s">
        <v>11510</v>
      </c>
      <c r="AU822">
        <v>2006</v>
      </c>
      <c r="AV822">
        <v>82</v>
      </c>
      <c r="AW822" t="s">
        <v>765</v>
      </c>
      <c r="AX822" t="s">
        <v>74</v>
      </c>
      <c r="AY822" t="s">
        <v>74</v>
      </c>
      <c r="AZ822" t="s">
        <v>74</v>
      </c>
      <c r="BA822" t="s">
        <v>74</v>
      </c>
      <c r="BB822">
        <v>69</v>
      </c>
      <c r="BC822">
        <v>79</v>
      </c>
      <c r="BD822" t="s">
        <v>74</v>
      </c>
      <c r="BE822" t="s">
        <v>12349</v>
      </c>
      <c r="BF822" t="str">
        <f>HYPERLINK("http://dx.doi.org/10.1127/0029-5035/2006/0082-0069","http://dx.doi.org/10.1127/0029-5035/2006/0082-0069")</f>
        <v>http://dx.doi.org/10.1127/0029-5035/2006/0082-0069</v>
      </c>
      <c r="BG822" t="s">
        <v>74</v>
      </c>
      <c r="BH822" t="s">
        <v>74</v>
      </c>
      <c r="BI822">
        <v>11</v>
      </c>
      <c r="BJ822" t="s">
        <v>1114</v>
      </c>
      <c r="BK822" t="s">
        <v>97</v>
      </c>
      <c r="BL822" t="s">
        <v>1114</v>
      </c>
      <c r="BM822" t="s">
        <v>12350</v>
      </c>
      <c r="BN822" t="s">
        <v>74</v>
      </c>
      <c r="BO822" t="s">
        <v>74</v>
      </c>
      <c r="BP822" t="s">
        <v>74</v>
      </c>
      <c r="BQ822" t="s">
        <v>74</v>
      </c>
      <c r="BR822" t="s">
        <v>100</v>
      </c>
      <c r="BS822" t="s">
        <v>12351</v>
      </c>
      <c r="BT822" t="str">
        <f>HYPERLINK("https%3A%2F%2Fwww.webofscience.com%2Fwos%2Fwoscc%2Ffull-record%2FWOS:000236065800005","View Full Record in Web of Science")</f>
        <v>View Full Record in Web of Science</v>
      </c>
    </row>
    <row r="823" spans="1:72" x14ac:dyDescent="0.15">
      <c r="A823" t="s">
        <v>72</v>
      </c>
      <c r="B823" t="s">
        <v>12352</v>
      </c>
      <c r="C823" t="s">
        <v>74</v>
      </c>
      <c r="D823" t="s">
        <v>74</v>
      </c>
      <c r="E823" t="s">
        <v>74</v>
      </c>
      <c r="F823" t="s">
        <v>12352</v>
      </c>
      <c r="G823" t="s">
        <v>74</v>
      </c>
      <c r="H823" t="s">
        <v>74</v>
      </c>
      <c r="I823" t="s">
        <v>12353</v>
      </c>
      <c r="J823" t="s">
        <v>1511</v>
      </c>
      <c r="K823" t="s">
        <v>74</v>
      </c>
      <c r="L823" t="s">
        <v>74</v>
      </c>
      <c r="M823" t="s">
        <v>78</v>
      </c>
      <c r="N823" t="s">
        <v>79</v>
      </c>
      <c r="O823" t="s">
        <v>74</v>
      </c>
      <c r="P823" t="s">
        <v>74</v>
      </c>
      <c r="Q823" t="s">
        <v>74</v>
      </c>
      <c r="R823" t="s">
        <v>74</v>
      </c>
      <c r="S823" t="s">
        <v>74</v>
      </c>
      <c r="T823" t="s">
        <v>74</v>
      </c>
      <c r="U823" t="s">
        <v>12354</v>
      </c>
      <c r="V823" t="s">
        <v>12355</v>
      </c>
      <c r="W823" t="s">
        <v>1041</v>
      </c>
      <c r="X823" t="s">
        <v>1042</v>
      </c>
      <c r="Y823" t="s">
        <v>12356</v>
      </c>
      <c r="Z823" t="s">
        <v>12357</v>
      </c>
      <c r="AA823" t="s">
        <v>12358</v>
      </c>
      <c r="AB823" t="s">
        <v>12359</v>
      </c>
      <c r="AC823" t="s">
        <v>74</v>
      </c>
      <c r="AD823" t="s">
        <v>74</v>
      </c>
      <c r="AE823" t="s">
        <v>74</v>
      </c>
      <c r="AF823" t="s">
        <v>74</v>
      </c>
      <c r="AG823">
        <v>41</v>
      </c>
      <c r="AH823">
        <v>32</v>
      </c>
      <c r="AI823">
        <v>38</v>
      </c>
      <c r="AJ823">
        <v>0</v>
      </c>
      <c r="AK823">
        <v>19</v>
      </c>
      <c r="AL823" t="s">
        <v>994</v>
      </c>
      <c r="AM823" t="s">
        <v>476</v>
      </c>
      <c r="AN823" t="s">
        <v>995</v>
      </c>
      <c r="AO823" t="s">
        <v>1520</v>
      </c>
      <c r="AP823" t="s">
        <v>74</v>
      </c>
      <c r="AQ823" t="s">
        <v>74</v>
      </c>
      <c r="AR823" t="s">
        <v>1522</v>
      </c>
      <c r="AS823" t="s">
        <v>1523</v>
      </c>
      <c r="AT823" t="s">
        <v>11510</v>
      </c>
      <c r="AU823">
        <v>2006</v>
      </c>
      <c r="AV823">
        <v>29</v>
      </c>
      <c r="AW823">
        <v>3</v>
      </c>
      <c r="AX823" t="s">
        <v>74</v>
      </c>
      <c r="AY823" t="s">
        <v>74</v>
      </c>
      <c r="AZ823" t="s">
        <v>74</v>
      </c>
      <c r="BA823" t="s">
        <v>74</v>
      </c>
      <c r="BB823">
        <v>153</v>
      </c>
      <c r="BC823">
        <v>159</v>
      </c>
      <c r="BD823" t="s">
        <v>74</v>
      </c>
      <c r="BE823" t="s">
        <v>12360</v>
      </c>
      <c r="BF823" t="str">
        <f>HYPERLINK("http://dx.doi.org/10.1007/s00300-005-0034-0","http://dx.doi.org/10.1007/s00300-005-0034-0")</f>
        <v>http://dx.doi.org/10.1007/s00300-005-0034-0</v>
      </c>
      <c r="BG823" t="s">
        <v>74</v>
      </c>
      <c r="BH823" t="s">
        <v>74</v>
      </c>
      <c r="BI823">
        <v>7</v>
      </c>
      <c r="BJ823" t="s">
        <v>1525</v>
      </c>
      <c r="BK823" t="s">
        <v>97</v>
      </c>
      <c r="BL823" t="s">
        <v>1526</v>
      </c>
      <c r="BM823" t="s">
        <v>12361</v>
      </c>
      <c r="BN823" t="s">
        <v>74</v>
      </c>
      <c r="BO823" t="s">
        <v>74</v>
      </c>
      <c r="BP823" t="s">
        <v>74</v>
      </c>
      <c r="BQ823" t="s">
        <v>74</v>
      </c>
      <c r="BR823" t="s">
        <v>100</v>
      </c>
      <c r="BS823" t="s">
        <v>12362</v>
      </c>
      <c r="BT823" t="str">
        <f>HYPERLINK("https%3A%2F%2Fwww.webofscience.com%2Fwos%2Fwoscc%2Ffull-record%2FWOS:000235903800001","View Full Record in Web of Science")</f>
        <v>View Full Record in Web of Science</v>
      </c>
    </row>
    <row r="824" spans="1:72" x14ac:dyDescent="0.15">
      <c r="A824" t="s">
        <v>72</v>
      </c>
      <c r="B824" t="s">
        <v>12363</v>
      </c>
      <c r="C824" t="s">
        <v>74</v>
      </c>
      <c r="D824" t="s">
        <v>74</v>
      </c>
      <c r="E824" t="s">
        <v>74</v>
      </c>
      <c r="F824" t="s">
        <v>12363</v>
      </c>
      <c r="G824" t="s">
        <v>74</v>
      </c>
      <c r="H824" t="s">
        <v>74</v>
      </c>
      <c r="I824" t="s">
        <v>12364</v>
      </c>
      <c r="J824" t="s">
        <v>1511</v>
      </c>
      <c r="K824" t="s">
        <v>74</v>
      </c>
      <c r="L824" t="s">
        <v>74</v>
      </c>
      <c r="M824" t="s">
        <v>78</v>
      </c>
      <c r="N824" t="s">
        <v>79</v>
      </c>
      <c r="O824" t="s">
        <v>74</v>
      </c>
      <c r="P824" t="s">
        <v>74</v>
      </c>
      <c r="Q824" t="s">
        <v>74</v>
      </c>
      <c r="R824" t="s">
        <v>74</v>
      </c>
      <c r="S824" t="s">
        <v>74</v>
      </c>
      <c r="T824" t="s">
        <v>74</v>
      </c>
      <c r="U824" t="s">
        <v>12365</v>
      </c>
      <c r="V824" t="s">
        <v>12366</v>
      </c>
      <c r="W824" t="s">
        <v>12367</v>
      </c>
      <c r="X824" t="s">
        <v>6241</v>
      </c>
      <c r="Y824" t="s">
        <v>12368</v>
      </c>
      <c r="Z824" t="s">
        <v>12369</v>
      </c>
      <c r="AA824" t="s">
        <v>74</v>
      </c>
      <c r="AB824" t="s">
        <v>74</v>
      </c>
      <c r="AC824" t="s">
        <v>74</v>
      </c>
      <c r="AD824" t="s">
        <v>74</v>
      </c>
      <c r="AE824" t="s">
        <v>74</v>
      </c>
      <c r="AF824" t="s">
        <v>74</v>
      </c>
      <c r="AG824">
        <v>58</v>
      </c>
      <c r="AH824">
        <v>14</v>
      </c>
      <c r="AI824">
        <v>18</v>
      </c>
      <c r="AJ824">
        <v>1</v>
      </c>
      <c r="AK824">
        <v>6</v>
      </c>
      <c r="AL824" t="s">
        <v>994</v>
      </c>
      <c r="AM824" t="s">
        <v>476</v>
      </c>
      <c r="AN824" t="s">
        <v>995</v>
      </c>
      <c r="AO824" t="s">
        <v>1520</v>
      </c>
      <c r="AP824" t="s">
        <v>74</v>
      </c>
      <c r="AQ824" t="s">
        <v>74</v>
      </c>
      <c r="AR824" t="s">
        <v>1522</v>
      </c>
      <c r="AS824" t="s">
        <v>1523</v>
      </c>
      <c r="AT824" t="s">
        <v>11510</v>
      </c>
      <c r="AU824">
        <v>2006</v>
      </c>
      <c r="AV824">
        <v>29</v>
      </c>
      <c r="AW824">
        <v>3</v>
      </c>
      <c r="AX824" t="s">
        <v>74</v>
      </c>
      <c r="AY824" t="s">
        <v>74</v>
      </c>
      <c r="AZ824" t="s">
        <v>74</v>
      </c>
      <c r="BA824" t="s">
        <v>74</v>
      </c>
      <c r="BB824">
        <v>160</v>
      </c>
      <c r="BC824">
        <v>168</v>
      </c>
      <c r="BD824" t="s">
        <v>74</v>
      </c>
      <c r="BE824" t="s">
        <v>12370</v>
      </c>
      <c r="BF824" t="str">
        <f>HYPERLINK("http://dx.doi.org/10.1007/s00300-005-0035-z","http://dx.doi.org/10.1007/s00300-005-0035-z")</f>
        <v>http://dx.doi.org/10.1007/s00300-005-0035-z</v>
      </c>
      <c r="BG824" t="s">
        <v>74</v>
      </c>
      <c r="BH824" t="s">
        <v>74</v>
      </c>
      <c r="BI824">
        <v>9</v>
      </c>
      <c r="BJ824" t="s">
        <v>1525</v>
      </c>
      <c r="BK824" t="s">
        <v>97</v>
      </c>
      <c r="BL824" t="s">
        <v>1526</v>
      </c>
      <c r="BM824" t="s">
        <v>12361</v>
      </c>
      <c r="BN824" t="s">
        <v>74</v>
      </c>
      <c r="BO824" t="s">
        <v>2896</v>
      </c>
      <c r="BP824" t="s">
        <v>74</v>
      </c>
      <c r="BQ824" t="s">
        <v>74</v>
      </c>
      <c r="BR824" t="s">
        <v>100</v>
      </c>
      <c r="BS824" t="s">
        <v>12371</v>
      </c>
      <c r="BT824" t="str">
        <f>HYPERLINK("https%3A%2F%2Fwww.webofscience.com%2Fwos%2Fwoscc%2Ffull-record%2FWOS:000235903800002","View Full Record in Web of Science")</f>
        <v>View Full Record in Web of Science</v>
      </c>
    </row>
    <row r="825" spans="1:72" x14ac:dyDescent="0.15">
      <c r="A825" t="s">
        <v>72</v>
      </c>
      <c r="B825" t="s">
        <v>12372</v>
      </c>
      <c r="C825" t="s">
        <v>74</v>
      </c>
      <c r="D825" t="s">
        <v>74</v>
      </c>
      <c r="E825" t="s">
        <v>74</v>
      </c>
      <c r="F825" t="s">
        <v>12372</v>
      </c>
      <c r="G825" t="s">
        <v>74</v>
      </c>
      <c r="H825" t="s">
        <v>74</v>
      </c>
      <c r="I825" t="s">
        <v>12373</v>
      </c>
      <c r="J825" t="s">
        <v>1511</v>
      </c>
      <c r="K825" t="s">
        <v>74</v>
      </c>
      <c r="L825" t="s">
        <v>74</v>
      </c>
      <c r="M825" t="s">
        <v>78</v>
      </c>
      <c r="N825" t="s">
        <v>79</v>
      </c>
      <c r="O825" t="s">
        <v>74</v>
      </c>
      <c r="P825" t="s">
        <v>74</v>
      </c>
      <c r="Q825" t="s">
        <v>74</v>
      </c>
      <c r="R825" t="s">
        <v>74</v>
      </c>
      <c r="S825" t="s">
        <v>74</v>
      </c>
      <c r="T825" t="s">
        <v>74</v>
      </c>
      <c r="U825" t="s">
        <v>12374</v>
      </c>
      <c r="V825" t="s">
        <v>12375</v>
      </c>
      <c r="W825" t="s">
        <v>12376</v>
      </c>
      <c r="X825" t="s">
        <v>407</v>
      </c>
      <c r="Y825" t="s">
        <v>12377</v>
      </c>
      <c r="Z825" t="s">
        <v>12378</v>
      </c>
      <c r="AA825" t="s">
        <v>12379</v>
      </c>
      <c r="AB825" t="s">
        <v>12380</v>
      </c>
      <c r="AC825" t="s">
        <v>74</v>
      </c>
      <c r="AD825" t="s">
        <v>74</v>
      </c>
      <c r="AE825" t="s">
        <v>74</v>
      </c>
      <c r="AF825" t="s">
        <v>74</v>
      </c>
      <c r="AG825">
        <v>47</v>
      </c>
      <c r="AH825">
        <v>11</v>
      </c>
      <c r="AI825">
        <v>12</v>
      </c>
      <c r="AJ825">
        <v>1</v>
      </c>
      <c r="AK825">
        <v>11</v>
      </c>
      <c r="AL825" t="s">
        <v>994</v>
      </c>
      <c r="AM825" t="s">
        <v>476</v>
      </c>
      <c r="AN825" t="s">
        <v>1551</v>
      </c>
      <c r="AO825" t="s">
        <v>1520</v>
      </c>
      <c r="AP825" t="s">
        <v>1521</v>
      </c>
      <c r="AQ825" t="s">
        <v>74</v>
      </c>
      <c r="AR825" t="s">
        <v>1522</v>
      </c>
      <c r="AS825" t="s">
        <v>1523</v>
      </c>
      <c r="AT825" t="s">
        <v>11510</v>
      </c>
      <c r="AU825">
        <v>2006</v>
      </c>
      <c r="AV825">
        <v>29</v>
      </c>
      <c r="AW825">
        <v>3</v>
      </c>
      <c r="AX825" t="s">
        <v>74</v>
      </c>
      <c r="AY825" t="s">
        <v>74</v>
      </c>
      <c r="AZ825" t="s">
        <v>74</v>
      </c>
      <c r="BA825" t="s">
        <v>74</v>
      </c>
      <c r="BB825">
        <v>179</v>
      </c>
      <c r="BC825">
        <v>188</v>
      </c>
      <c r="BD825" t="s">
        <v>74</v>
      </c>
      <c r="BE825" t="s">
        <v>12381</v>
      </c>
      <c r="BF825" t="str">
        <f>HYPERLINK("http://dx.doi.org/10.1007/s00300-005-0037-x","http://dx.doi.org/10.1007/s00300-005-0037-x")</f>
        <v>http://dx.doi.org/10.1007/s00300-005-0037-x</v>
      </c>
      <c r="BG825" t="s">
        <v>74</v>
      </c>
      <c r="BH825" t="s">
        <v>74</v>
      </c>
      <c r="BI825">
        <v>10</v>
      </c>
      <c r="BJ825" t="s">
        <v>1525</v>
      </c>
      <c r="BK825" t="s">
        <v>97</v>
      </c>
      <c r="BL825" t="s">
        <v>1526</v>
      </c>
      <c r="BM825" t="s">
        <v>12361</v>
      </c>
      <c r="BN825" t="s">
        <v>74</v>
      </c>
      <c r="BO825" t="s">
        <v>74</v>
      </c>
      <c r="BP825" t="s">
        <v>74</v>
      </c>
      <c r="BQ825" t="s">
        <v>74</v>
      </c>
      <c r="BR825" t="s">
        <v>100</v>
      </c>
      <c r="BS825" t="s">
        <v>12382</v>
      </c>
      <c r="BT825" t="str">
        <f>HYPERLINK("https%3A%2F%2Fwww.webofscience.com%2Fwos%2Fwoscc%2Ffull-record%2FWOS:000235903800004","View Full Record in Web of Science")</f>
        <v>View Full Record in Web of Science</v>
      </c>
    </row>
    <row r="826" spans="1:72" x14ac:dyDescent="0.15">
      <c r="A826" t="s">
        <v>72</v>
      </c>
      <c r="B826" t="s">
        <v>12383</v>
      </c>
      <c r="C826" t="s">
        <v>74</v>
      </c>
      <c r="D826" t="s">
        <v>74</v>
      </c>
      <c r="E826" t="s">
        <v>74</v>
      </c>
      <c r="F826" t="s">
        <v>12383</v>
      </c>
      <c r="G826" t="s">
        <v>74</v>
      </c>
      <c r="H826" t="s">
        <v>74</v>
      </c>
      <c r="I826" t="s">
        <v>12384</v>
      </c>
      <c r="J826" t="s">
        <v>1511</v>
      </c>
      <c r="K826" t="s">
        <v>74</v>
      </c>
      <c r="L826" t="s">
        <v>74</v>
      </c>
      <c r="M826" t="s">
        <v>78</v>
      </c>
      <c r="N826" t="s">
        <v>79</v>
      </c>
      <c r="O826" t="s">
        <v>74</v>
      </c>
      <c r="P826" t="s">
        <v>74</v>
      </c>
      <c r="Q826" t="s">
        <v>74</v>
      </c>
      <c r="R826" t="s">
        <v>74</v>
      </c>
      <c r="S826" t="s">
        <v>74</v>
      </c>
      <c r="T826" t="s">
        <v>74</v>
      </c>
      <c r="U826" t="s">
        <v>12385</v>
      </c>
      <c r="V826" t="s">
        <v>12386</v>
      </c>
      <c r="W826" t="s">
        <v>12376</v>
      </c>
      <c r="X826" t="s">
        <v>407</v>
      </c>
      <c r="Y826" t="s">
        <v>12387</v>
      </c>
      <c r="Z826" t="s">
        <v>9794</v>
      </c>
      <c r="AA826" t="s">
        <v>74</v>
      </c>
      <c r="AB826" t="s">
        <v>12388</v>
      </c>
      <c r="AC826" t="s">
        <v>74</v>
      </c>
      <c r="AD826" t="s">
        <v>74</v>
      </c>
      <c r="AE826" t="s">
        <v>74</v>
      </c>
      <c r="AF826" t="s">
        <v>74</v>
      </c>
      <c r="AG826">
        <v>36</v>
      </c>
      <c r="AH826">
        <v>41</v>
      </c>
      <c r="AI826">
        <v>45</v>
      </c>
      <c r="AJ826">
        <v>1</v>
      </c>
      <c r="AK826">
        <v>7</v>
      </c>
      <c r="AL826" t="s">
        <v>994</v>
      </c>
      <c r="AM826" t="s">
        <v>476</v>
      </c>
      <c r="AN826" t="s">
        <v>1551</v>
      </c>
      <c r="AO826" t="s">
        <v>1520</v>
      </c>
      <c r="AP826" t="s">
        <v>1521</v>
      </c>
      <c r="AQ826" t="s">
        <v>74</v>
      </c>
      <c r="AR826" t="s">
        <v>1522</v>
      </c>
      <c r="AS826" t="s">
        <v>1523</v>
      </c>
      <c r="AT826" t="s">
        <v>11510</v>
      </c>
      <c r="AU826">
        <v>2006</v>
      </c>
      <c r="AV826">
        <v>29</v>
      </c>
      <c r="AW826">
        <v>3</v>
      </c>
      <c r="AX826" t="s">
        <v>74</v>
      </c>
      <c r="AY826" t="s">
        <v>74</v>
      </c>
      <c r="AZ826" t="s">
        <v>74</v>
      </c>
      <c r="BA826" t="s">
        <v>74</v>
      </c>
      <c r="BB826">
        <v>223</v>
      </c>
      <c r="BC826">
        <v>228</v>
      </c>
      <c r="BD826" t="s">
        <v>74</v>
      </c>
      <c r="BE826" t="s">
        <v>12389</v>
      </c>
      <c r="BF826" t="str">
        <f>HYPERLINK("http://dx.doi.org/10.1007/s00300-005-0042-0","http://dx.doi.org/10.1007/s00300-005-0042-0")</f>
        <v>http://dx.doi.org/10.1007/s00300-005-0042-0</v>
      </c>
      <c r="BG826" t="s">
        <v>74</v>
      </c>
      <c r="BH826" t="s">
        <v>74</v>
      </c>
      <c r="BI826">
        <v>6</v>
      </c>
      <c r="BJ826" t="s">
        <v>1525</v>
      </c>
      <c r="BK826" t="s">
        <v>97</v>
      </c>
      <c r="BL826" t="s">
        <v>1526</v>
      </c>
      <c r="BM826" t="s">
        <v>12361</v>
      </c>
      <c r="BN826" t="s">
        <v>74</v>
      </c>
      <c r="BO826" t="s">
        <v>74</v>
      </c>
      <c r="BP826" t="s">
        <v>74</v>
      </c>
      <c r="BQ826" t="s">
        <v>74</v>
      </c>
      <c r="BR826" t="s">
        <v>100</v>
      </c>
      <c r="BS826" t="s">
        <v>12390</v>
      </c>
      <c r="BT826" t="str">
        <f>HYPERLINK("https%3A%2F%2Fwww.webofscience.com%2Fwos%2Fwoscc%2Ffull-record%2FWOS:000235903800008","View Full Record in Web of Science")</f>
        <v>View Full Record in Web of Science</v>
      </c>
    </row>
    <row r="827" spans="1:72" x14ac:dyDescent="0.15">
      <c r="A827" t="s">
        <v>72</v>
      </c>
      <c r="B827" t="s">
        <v>12391</v>
      </c>
      <c r="C827" t="s">
        <v>74</v>
      </c>
      <c r="D827" t="s">
        <v>74</v>
      </c>
      <c r="E827" t="s">
        <v>74</v>
      </c>
      <c r="F827" t="s">
        <v>12391</v>
      </c>
      <c r="G827" t="s">
        <v>74</v>
      </c>
      <c r="H827" t="s">
        <v>74</v>
      </c>
      <c r="I827" t="s">
        <v>12392</v>
      </c>
      <c r="J827" t="s">
        <v>1511</v>
      </c>
      <c r="K827" t="s">
        <v>74</v>
      </c>
      <c r="L827" t="s">
        <v>74</v>
      </c>
      <c r="M827" t="s">
        <v>78</v>
      </c>
      <c r="N827" t="s">
        <v>79</v>
      </c>
      <c r="O827" t="s">
        <v>74</v>
      </c>
      <c r="P827" t="s">
        <v>74</v>
      </c>
      <c r="Q827" t="s">
        <v>74</v>
      </c>
      <c r="R827" t="s">
        <v>74</v>
      </c>
      <c r="S827" t="s">
        <v>74</v>
      </c>
      <c r="T827" t="s">
        <v>74</v>
      </c>
      <c r="U827" t="s">
        <v>12393</v>
      </c>
      <c r="V827" t="s">
        <v>12394</v>
      </c>
      <c r="W827" t="s">
        <v>12395</v>
      </c>
      <c r="X827" t="s">
        <v>12396</v>
      </c>
      <c r="Y827" t="s">
        <v>12397</v>
      </c>
      <c r="Z827" t="s">
        <v>12398</v>
      </c>
      <c r="AA827" t="s">
        <v>12399</v>
      </c>
      <c r="AB827" t="s">
        <v>12400</v>
      </c>
      <c r="AC827" t="s">
        <v>74</v>
      </c>
      <c r="AD827" t="s">
        <v>74</v>
      </c>
      <c r="AE827" t="s">
        <v>74</v>
      </c>
      <c r="AF827" t="s">
        <v>74</v>
      </c>
      <c r="AG827">
        <v>27</v>
      </c>
      <c r="AH827">
        <v>40</v>
      </c>
      <c r="AI827">
        <v>49</v>
      </c>
      <c r="AJ827">
        <v>0</v>
      </c>
      <c r="AK827">
        <v>17</v>
      </c>
      <c r="AL827" t="s">
        <v>994</v>
      </c>
      <c r="AM827" t="s">
        <v>476</v>
      </c>
      <c r="AN827" t="s">
        <v>995</v>
      </c>
      <c r="AO827" t="s">
        <v>1520</v>
      </c>
      <c r="AP827" t="s">
        <v>74</v>
      </c>
      <c r="AQ827" t="s">
        <v>74</v>
      </c>
      <c r="AR827" t="s">
        <v>1522</v>
      </c>
      <c r="AS827" t="s">
        <v>1523</v>
      </c>
      <c r="AT827" t="s">
        <v>11510</v>
      </c>
      <c r="AU827">
        <v>2006</v>
      </c>
      <c r="AV827">
        <v>29</v>
      </c>
      <c r="AW827">
        <v>3</v>
      </c>
      <c r="AX827" t="s">
        <v>74</v>
      </c>
      <c r="AY827" t="s">
        <v>74</v>
      </c>
      <c r="AZ827" t="s">
        <v>74</v>
      </c>
      <c r="BA827" t="s">
        <v>74</v>
      </c>
      <c r="BB827">
        <v>229</v>
      </c>
      <c r="BC827">
        <v>238</v>
      </c>
      <c r="BD827" t="s">
        <v>74</v>
      </c>
      <c r="BE827" t="s">
        <v>12401</v>
      </c>
      <c r="BF827" t="str">
        <f>HYPERLINK("http://dx.doi.org/10.1007/s00300-005-0043-z","http://dx.doi.org/10.1007/s00300-005-0043-z")</f>
        <v>http://dx.doi.org/10.1007/s00300-005-0043-z</v>
      </c>
      <c r="BG827" t="s">
        <v>74</v>
      </c>
      <c r="BH827" t="s">
        <v>74</v>
      </c>
      <c r="BI827">
        <v>10</v>
      </c>
      <c r="BJ827" t="s">
        <v>1525</v>
      </c>
      <c r="BK827" t="s">
        <v>97</v>
      </c>
      <c r="BL827" t="s">
        <v>1526</v>
      </c>
      <c r="BM827" t="s">
        <v>12361</v>
      </c>
      <c r="BN827" t="s">
        <v>74</v>
      </c>
      <c r="BO827" t="s">
        <v>74</v>
      </c>
      <c r="BP827" t="s">
        <v>74</v>
      </c>
      <c r="BQ827" t="s">
        <v>74</v>
      </c>
      <c r="BR827" t="s">
        <v>100</v>
      </c>
      <c r="BS827" t="s">
        <v>12402</v>
      </c>
      <c r="BT827" t="str">
        <f>HYPERLINK("https%3A%2F%2Fwww.webofscience.com%2Fwos%2Fwoscc%2Ffull-record%2FWOS:000235903800009","View Full Record in Web of Science")</f>
        <v>View Full Record in Web of Science</v>
      </c>
    </row>
    <row r="828" spans="1:72" x14ac:dyDescent="0.15">
      <c r="A828" t="s">
        <v>72</v>
      </c>
      <c r="B828" t="s">
        <v>12403</v>
      </c>
      <c r="C828" t="s">
        <v>74</v>
      </c>
      <c r="D828" t="s">
        <v>74</v>
      </c>
      <c r="E828" t="s">
        <v>74</v>
      </c>
      <c r="F828" t="s">
        <v>12403</v>
      </c>
      <c r="G828" t="s">
        <v>74</v>
      </c>
      <c r="H828" t="s">
        <v>74</v>
      </c>
      <c r="I828" t="s">
        <v>12404</v>
      </c>
      <c r="J828" t="s">
        <v>12405</v>
      </c>
      <c r="K828" t="s">
        <v>74</v>
      </c>
      <c r="L828" t="s">
        <v>74</v>
      </c>
      <c r="M828" t="s">
        <v>78</v>
      </c>
      <c r="N828" t="s">
        <v>79</v>
      </c>
      <c r="O828" t="s">
        <v>74</v>
      </c>
      <c r="P828" t="s">
        <v>74</v>
      </c>
      <c r="Q828" t="s">
        <v>74</v>
      </c>
      <c r="R828" t="s">
        <v>74</v>
      </c>
      <c r="S828" t="s">
        <v>74</v>
      </c>
      <c r="T828" t="s">
        <v>12406</v>
      </c>
      <c r="U828" t="s">
        <v>12407</v>
      </c>
      <c r="V828" t="s">
        <v>12408</v>
      </c>
      <c r="W828" t="s">
        <v>12409</v>
      </c>
      <c r="X828" t="s">
        <v>12410</v>
      </c>
      <c r="Y828" t="s">
        <v>12411</v>
      </c>
      <c r="Z828" t="s">
        <v>12412</v>
      </c>
      <c r="AA828" t="s">
        <v>12413</v>
      </c>
      <c r="AB828" t="s">
        <v>12414</v>
      </c>
      <c r="AC828" t="s">
        <v>74</v>
      </c>
      <c r="AD828" t="s">
        <v>74</v>
      </c>
      <c r="AE828" t="s">
        <v>74</v>
      </c>
      <c r="AF828" t="s">
        <v>74</v>
      </c>
      <c r="AG828">
        <v>31</v>
      </c>
      <c r="AH828">
        <v>48</v>
      </c>
      <c r="AI828">
        <v>50</v>
      </c>
      <c r="AJ828">
        <v>0</v>
      </c>
      <c r="AK828">
        <v>3</v>
      </c>
      <c r="AL828" t="s">
        <v>6711</v>
      </c>
      <c r="AM828" t="s">
        <v>116</v>
      </c>
      <c r="AN828" t="s">
        <v>6712</v>
      </c>
      <c r="AO828" t="s">
        <v>12415</v>
      </c>
      <c r="AP828" t="s">
        <v>74</v>
      </c>
      <c r="AQ828" t="s">
        <v>74</v>
      </c>
      <c r="AR828" t="s">
        <v>12416</v>
      </c>
      <c r="AS828" t="s">
        <v>12417</v>
      </c>
      <c r="AT828" t="s">
        <v>12074</v>
      </c>
      <c r="AU828">
        <v>2006</v>
      </c>
      <c r="AV828">
        <v>62</v>
      </c>
      <c r="AW828">
        <v>2</v>
      </c>
      <c r="AX828" t="s">
        <v>74</v>
      </c>
      <c r="AY828" t="s">
        <v>74</v>
      </c>
      <c r="AZ828" t="s">
        <v>74</v>
      </c>
      <c r="BA828" t="s">
        <v>74</v>
      </c>
      <c r="BB828">
        <v>316</v>
      </c>
      <c r="BC828">
        <v>321</v>
      </c>
      <c r="BD828" t="s">
        <v>74</v>
      </c>
      <c r="BE828" t="s">
        <v>12418</v>
      </c>
      <c r="BF828" t="str">
        <f>HYPERLINK("http://dx.doi.org/10.1002/prot.20709","http://dx.doi.org/10.1002/prot.20709")</f>
        <v>http://dx.doi.org/10.1002/prot.20709</v>
      </c>
      <c r="BG828" t="s">
        <v>74</v>
      </c>
      <c r="BH828" t="s">
        <v>74</v>
      </c>
      <c r="BI828">
        <v>6</v>
      </c>
      <c r="BJ828" t="s">
        <v>3452</v>
      </c>
      <c r="BK828" t="s">
        <v>97</v>
      </c>
      <c r="BL828" t="s">
        <v>3452</v>
      </c>
      <c r="BM828" t="s">
        <v>12419</v>
      </c>
      <c r="BN828">
        <v>16299734</v>
      </c>
      <c r="BO828" t="s">
        <v>74</v>
      </c>
      <c r="BP828" t="s">
        <v>74</v>
      </c>
      <c r="BQ828" t="s">
        <v>74</v>
      </c>
      <c r="BR828" t="s">
        <v>100</v>
      </c>
      <c r="BS828" t="s">
        <v>12420</v>
      </c>
      <c r="BT828" t="str">
        <f>HYPERLINK("https%3A%2F%2Fwww.webofscience.com%2Fwos%2Fwoscc%2Ffull-record%2FWOS:000234438800002","View Full Record in Web of Science")</f>
        <v>View Full Record in Web of Science</v>
      </c>
    </row>
    <row r="829" spans="1:72" x14ac:dyDescent="0.15">
      <c r="A829" t="s">
        <v>72</v>
      </c>
      <c r="B829" t="s">
        <v>12421</v>
      </c>
      <c r="C829" t="s">
        <v>74</v>
      </c>
      <c r="D829" t="s">
        <v>74</v>
      </c>
      <c r="E829" t="s">
        <v>74</v>
      </c>
      <c r="F829" t="s">
        <v>12421</v>
      </c>
      <c r="G829" t="s">
        <v>74</v>
      </c>
      <c r="H829" t="s">
        <v>74</v>
      </c>
      <c r="I829" t="s">
        <v>12422</v>
      </c>
      <c r="J829" t="s">
        <v>12405</v>
      </c>
      <c r="K829" t="s">
        <v>74</v>
      </c>
      <c r="L829" t="s">
        <v>74</v>
      </c>
      <c r="M829" t="s">
        <v>78</v>
      </c>
      <c r="N829" t="s">
        <v>79</v>
      </c>
      <c r="O829" t="s">
        <v>74</v>
      </c>
      <c r="P829" t="s">
        <v>74</v>
      </c>
      <c r="Q829" t="s">
        <v>74</v>
      </c>
      <c r="R829" t="s">
        <v>74</v>
      </c>
      <c r="S829" t="s">
        <v>74</v>
      </c>
      <c r="T829" t="s">
        <v>12423</v>
      </c>
      <c r="U829" t="s">
        <v>12424</v>
      </c>
      <c r="V829" t="s">
        <v>12425</v>
      </c>
      <c r="W829" t="s">
        <v>12426</v>
      </c>
      <c r="X829" t="s">
        <v>12427</v>
      </c>
      <c r="Y829" t="s">
        <v>12428</v>
      </c>
      <c r="Z829" t="s">
        <v>12429</v>
      </c>
      <c r="AA829" t="s">
        <v>12430</v>
      </c>
      <c r="AB829" t="s">
        <v>12431</v>
      </c>
      <c r="AC829" t="s">
        <v>74</v>
      </c>
      <c r="AD829" t="s">
        <v>74</v>
      </c>
      <c r="AE829" t="s">
        <v>74</v>
      </c>
      <c r="AF829" t="s">
        <v>74</v>
      </c>
      <c r="AG829">
        <v>71</v>
      </c>
      <c r="AH829">
        <v>25</v>
      </c>
      <c r="AI829">
        <v>28</v>
      </c>
      <c r="AJ829">
        <v>1</v>
      </c>
      <c r="AK829">
        <v>26</v>
      </c>
      <c r="AL829" t="s">
        <v>115</v>
      </c>
      <c r="AM829" t="s">
        <v>116</v>
      </c>
      <c r="AN829" t="s">
        <v>117</v>
      </c>
      <c r="AO829" t="s">
        <v>12415</v>
      </c>
      <c r="AP829" t="s">
        <v>12432</v>
      </c>
      <c r="AQ829" t="s">
        <v>74</v>
      </c>
      <c r="AR829" t="s">
        <v>12416</v>
      </c>
      <c r="AS829" t="s">
        <v>12417</v>
      </c>
      <c r="AT829" t="s">
        <v>12074</v>
      </c>
      <c r="AU829">
        <v>2006</v>
      </c>
      <c r="AV829">
        <v>62</v>
      </c>
      <c r="AW829">
        <v>2</v>
      </c>
      <c r="AX829" t="s">
        <v>74</v>
      </c>
      <c r="AY829" t="s">
        <v>74</v>
      </c>
      <c r="AZ829" t="s">
        <v>74</v>
      </c>
      <c r="BA829" t="s">
        <v>74</v>
      </c>
      <c r="BB829">
        <v>435</v>
      </c>
      <c r="BC829">
        <v>449</v>
      </c>
      <c r="BD829" t="s">
        <v>74</v>
      </c>
      <c r="BE829" t="s">
        <v>12433</v>
      </c>
      <c r="BF829" t="str">
        <f>HYPERLINK("http://dx.doi.org/10.1002/prot.20773","http://dx.doi.org/10.1002/prot.20773")</f>
        <v>http://dx.doi.org/10.1002/prot.20773</v>
      </c>
      <c r="BG829" t="s">
        <v>74</v>
      </c>
      <c r="BH829" t="s">
        <v>74</v>
      </c>
      <c r="BI829">
        <v>15</v>
      </c>
      <c r="BJ829" t="s">
        <v>3452</v>
      </c>
      <c r="BK829" t="s">
        <v>97</v>
      </c>
      <c r="BL829" t="s">
        <v>3452</v>
      </c>
      <c r="BM829" t="s">
        <v>12419</v>
      </c>
      <c r="BN829">
        <v>16294337</v>
      </c>
      <c r="BO829" t="s">
        <v>460</v>
      </c>
      <c r="BP829" t="s">
        <v>74</v>
      </c>
      <c r="BQ829" t="s">
        <v>74</v>
      </c>
      <c r="BR829" t="s">
        <v>100</v>
      </c>
      <c r="BS829" t="s">
        <v>12434</v>
      </c>
      <c r="BT829" t="str">
        <f>HYPERLINK("https%3A%2F%2Fwww.webofscience.com%2Fwos%2Fwoscc%2Ffull-record%2FWOS:000234438800013","View Full Record in Web of Science")</f>
        <v>View Full Record in Web of Science</v>
      </c>
    </row>
    <row r="830" spans="1:72" x14ac:dyDescent="0.15">
      <c r="A830" t="s">
        <v>72</v>
      </c>
      <c r="B830" t="s">
        <v>12435</v>
      </c>
      <c r="C830" t="s">
        <v>74</v>
      </c>
      <c r="D830" t="s">
        <v>74</v>
      </c>
      <c r="E830" t="s">
        <v>74</v>
      </c>
      <c r="F830" t="s">
        <v>12436</v>
      </c>
      <c r="G830" t="s">
        <v>74</v>
      </c>
      <c r="H830" t="s">
        <v>74</v>
      </c>
      <c r="I830" t="s">
        <v>12437</v>
      </c>
      <c r="J830" t="s">
        <v>12438</v>
      </c>
      <c r="K830" t="s">
        <v>74</v>
      </c>
      <c r="L830" t="s">
        <v>74</v>
      </c>
      <c r="M830" t="s">
        <v>78</v>
      </c>
      <c r="N830" t="s">
        <v>79</v>
      </c>
      <c r="O830" t="s">
        <v>74</v>
      </c>
      <c r="P830" t="s">
        <v>74</v>
      </c>
      <c r="Q830" t="s">
        <v>74</v>
      </c>
      <c r="R830" t="s">
        <v>74</v>
      </c>
      <c r="S830" t="s">
        <v>74</v>
      </c>
      <c r="T830" t="s">
        <v>12439</v>
      </c>
      <c r="U830" t="s">
        <v>12440</v>
      </c>
      <c r="V830" t="s">
        <v>12441</v>
      </c>
      <c r="W830" t="s">
        <v>12442</v>
      </c>
      <c r="X830" t="s">
        <v>12443</v>
      </c>
      <c r="Y830" t="s">
        <v>12444</v>
      </c>
      <c r="Z830" t="s">
        <v>12445</v>
      </c>
      <c r="AA830" t="s">
        <v>12446</v>
      </c>
      <c r="AB830" t="s">
        <v>12447</v>
      </c>
      <c r="AC830" t="s">
        <v>74</v>
      </c>
      <c r="AD830" t="s">
        <v>74</v>
      </c>
      <c r="AE830" t="s">
        <v>74</v>
      </c>
      <c r="AF830" t="s">
        <v>74</v>
      </c>
      <c r="AG830">
        <v>74</v>
      </c>
      <c r="AH830">
        <v>102</v>
      </c>
      <c r="AI830">
        <v>113</v>
      </c>
      <c r="AJ830">
        <v>0</v>
      </c>
      <c r="AK830">
        <v>24</v>
      </c>
      <c r="AL830" t="s">
        <v>2630</v>
      </c>
      <c r="AM830" t="s">
        <v>388</v>
      </c>
      <c r="AN830" t="s">
        <v>2631</v>
      </c>
      <c r="AO830" t="s">
        <v>12448</v>
      </c>
      <c r="AP830" t="s">
        <v>12449</v>
      </c>
      <c r="AQ830" t="s">
        <v>74</v>
      </c>
      <c r="AR830" t="s">
        <v>12450</v>
      </c>
      <c r="AS830" t="s">
        <v>12451</v>
      </c>
      <c r="AT830" t="s">
        <v>11510</v>
      </c>
      <c r="AU830">
        <v>2006</v>
      </c>
      <c r="AV830">
        <v>1</v>
      </c>
      <c r="AW830">
        <v>1</v>
      </c>
      <c r="AX830" t="s">
        <v>74</v>
      </c>
      <c r="AY830" t="s">
        <v>74</v>
      </c>
      <c r="AZ830" t="s">
        <v>74</v>
      </c>
      <c r="BA830" t="s">
        <v>74</v>
      </c>
      <c r="BB830">
        <v>43</v>
      </c>
      <c r="BC830">
        <v>58</v>
      </c>
      <c r="BD830" t="s">
        <v>74</v>
      </c>
      <c r="BE830" t="s">
        <v>12452</v>
      </c>
      <c r="BF830" t="str">
        <f>HYPERLINK("http://dx.doi.org/10.1016/j.quageo.2006.06.001","http://dx.doi.org/10.1016/j.quageo.2006.06.001")</f>
        <v>http://dx.doi.org/10.1016/j.quageo.2006.06.001</v>
      </c>
      <c r="BG830" t="s">
        <v>74</v>
      </c>
      <c r="BH830" t="s">
        <v>74</v>
      </c>
      <c r="BI830">
        <v>16</v>
      </c>
      <c r="BJ830" t="s">
        <v>2893</v>
      </c>
      <c r="BK830" t="s">
        <v>97</v>
      </c>
      <c r="BL830" t="s">
        <v>2894</v>
      </c>
      <c r="BM830" t="s">
        <v>12453</v>
      </c>
      <c r="BN830" t="s">
        <v>74</v>
      </c>
      <c r="BO830" t="s">
        <v>74</v>
      </c>
      <c r="BP830" t="s">
        <v>74</v>
      </c>
      <c r="BQ830" t="s">
        <v>74</v>
      </c>
      <c r="BR830" t="s">
        <v>100</v>
      </c>
      <c r="BS830" t="s">
        <v>12454</v>
      </c>
      <c r="BT830" t="str">
        <f>HYPERLINK("https%3A%2F%2Fwww.webofscience.com%2Fwos%2Fwoscc%2Ffull-record%2FWOS:000247069000006","View Full Record in Web of Science")</f>
        <v>View Full Record in Web of Science</v>
      </c>
    </row>
    <row r="831" spans="1:72" x14ac:dyDescent="0.15">
      <c r="A831" t="s">
        <v>72</v>
      </c>
      <c r="B831" t="s">
        <v>12455</v>
      </c>
      <c r="C831" t="s">
        <v>74</v>
      </c>
      <c r="D831" t="s">
        <v>74</v>
      </c>
      <c r="E831" t="s">
        <v>74</v>
      </c>
      <c r="F831" t="s">
        <v>12455</v>
      </c>
      <c r="G831" t="s">
        <v>74</v>
      </c>
      <c r="H831" t="s">
        <v>74</v>
      </c>
      <c r="I831" t="s">
        <v>12456</v>
      </c>
      <c r="J831" t="s">
        <v>12457</v>
      </c>
      <c r="K831" t="s">
        <v>74</v>
      </c>
      <c r="L831" t="s">
        <v>74</v>
      </c>
      <c r="M831" t="s">
        <v>78</v>
      </c>
      <c r="N831" t="s">
        <v>79</v>
      </c>
      <c r="O831" t="s">
        <v>74</v>
      </c>
      <c r="P831" t="s">
        <v>74</v>
      </c>
      <c r="Q831" t="s">
        <v>74</v>
      </c>
      <c r="R831" t="s">
        <v>74</v>
      </c>
      <c r="S831" t="s">
        <v>74</v>
      </c>
      <c r="T831" t="s">
        <v>74</v>
      </c>
      <c r="U831" t="s">
        <v>12458</v>
      </c>
      <c r="V831" t="s">
        <v>12459</v>
      </c>
      <c r="W831" t="s">
        <v>12460</v>
      </c>
      <c r="X831" t="s">
        <v>12461</v>
      </c>
      <c r="Y831" t="s">
        <v>12462</v>
      </c>
      <c r="Z831" t="s">
        <v>12463</v>
      </c>
      <c r="AA831" t="s">
        <v>12464</v>
      </c>
      <c r="AB831" t="s">
        <v>12465</v>
      </c>
      <c r="AC831" t="s">
        <v>12466</v>
      </c>
      <c r="AD831" t="s">
        <v>2873</v>
      </c>
      <c r="AE831" t="s">
        <v>74</v>
      </c>
      <c r="AF831" t="s">
        <v>74</v>
      </c>
      <c r="AG831">
        <v>57</v>
      </c>
      <c r="AH831">
        <v>141</v>
      </c>
      <c r="AI831">
        <v>158</v>
      </c>
      <c r="AJ831">
        <v>0</v>
      </c>
      <c r="AK831">
        <v>41</v>
      </c>
      <c r="AL831" t="s">
        <v>136</v>
      </c>
      <c r="AM831" t="s">
        <v>137</v>
      </c>
      <c r="AN831" t="s">
        <v>138</v>
      </c>
      <c r="AO831" t="s">
        <v>12467</v>
      </c>
      <c r="AP831" t="s">
        <v>74</v>
      </c>
      <c r="AQ831" t="s">
        <v>74</v>
      </c>
      <c r="AR831" t="s">
        <v>12468</v>
      </c>
      <c r="AS831" t="s">
        <v>12469</v>
      </c>
      <c r="AT831" t="s">
        <v>11510</v>
      </c>
      <c r="AU831">
        <v>2006</v>
      </c>
      <c r="AV831">
        <v>58</v>
      </c>
      <c r="AW831">
        <v>1</v>
      </c>
      <c r="AX831" t="s">
        <v>74</v>
      </c>
      <c r="AY831" t="s">
        <v>74</v>
      </c>
      <c r="AZ831" t="s">
        <v>74</v>
      </c>
      <c r="BA831" t="s">
        <v>74</v>
      </c>
      <c r="BB831">
        <v>73</v>
      </c>
      <c r="BC831">
        <v>87</v>
      </c>
      <c r="BD831" t="s">
        <v>74</v>
      </c>
      <c r="BE831" t="s">
        <v>12470</v>
      </c>
      <c r="BF831" t="str">
        <f>HYPERLINK("http://dx.doi.org/10.1111/j.1600-0889.2005.00167.x","http://dx.doi.org/10.1111/j.1600-0889.2005.00167.x")</f>
        <v>http://dx.doi.org/10.1111/j.1600-0889.2005.00167.x</v>
      </c>
      <c r="BG831" t="s">
        <v>74</v>
      </c>
      <c r="BH831" t="s">
        <v>74</v>
      </c>
      <c r="BI831">
        <v>15</v>
      </c>
      <c r="BJ831" t="s">
        <v>869</v>
      </c>
      <c r="BK831" t="s">
        <v>97</v>
      </c>
      <c r="BL831" t="s">
        <v>869</v>
      </c>
      <c r="BM831" t="s">
        <v>12471</v>
      </c>
      <c r="BN831" t="s">
        <v>74</v>
      </c>
      <c r="BO831" t="s">
        <v>901</v>
      </c>
      <c r="BP831" t="s">
        <v>74</v>
      </c>
      <c r="BQ831" t="s">
        <v>74</v>
      </c>
      <c r="BR831" t="s">
        <v>100</v>
      </c>
      <c r="BS831" t="s">
        <v>12472</v>
      </c>
      <c r="BT831" t="str">
        <f>HYPERLINK("https%3A%2F%2Fwww.webofscience.com%2Fwos%2Fwoscc%2Ffull-record%2FWOS:000235520500007","View Full Record in Web of Science")</f>
        <v>View Full Record in Web of Science</v>
      </c>
    </row>
    <row r="832" spans="1:72" x14ac:dyDescent="0.15">
      <c r="A832" t="s">
        <v>72</v>
      </c>
      <c r="B832" t="s">
        <v>12473</v>
      </c>
      <c r="C832" t="s">
        <v>74</v>
      </c>
      <c r="D832" t="s">
        <v>74</v>
      </c>
      <c r="E832" t="s">
        <v>74</v>
      </c>
      <c r="F832" t="s">
        <v>12473</v>
      </c>
      <c r="G832" t="s">
        <v>74</v>
      </c>
      <c r="H832" t="s">
        <v>74</v>
      </c>
      <c r="I832" t="s">
        <v>12474</v>
      </c>
      <c r="J832" t="s">
        <v>7446</v>
      </c>
      <c r="K832" t="s">
        <v>74</v>
      </c>
      <c r="L832" t="s">
        <v>74</v>
      </c>
      <c r="M832" t="s">
        <v>78</v>
      </c>
      <c r="N832" t="s">
        <v>79</v>
      </c>
      <c r="O832" t="s">
        <v>74</v>
      </c>
      <c r="P832" t="s">
        <v>74</v>
      </c>
      <c r="Q832" t="s">
        <v>74</v>
      </c>
      <c r="R832" t="s">
        <v>74</v>
      </c>
      <c r="S832" t="s">
        <v>74</v>
      </c>
      <c r="T832" t="s">
        <v>12475</v>
      </c>
      <c r="U832" t="s">
        <v>12476</v>
      </c>
      <c r="V832" t="s">
        <v>12477</v>
      </c>
      <c r="W832" t="s">
        <v>12478</v>
      </c>
      <c r="X832" t="s">
        <v>12479</v>
      </c>
      <c r="Y832" t="s">
        <v>12480</v>
      </c>
      <c r="Z832" t="s">
        <v>12481</v>
      </c>
      <c r="AA832" t="s">
        <v>7454</v>
      </c>
      <c r="AB832" t="s">
        <v>12482</v>
      </c>
      <c r="AC832" t="s">
        <v>74</v>
      </c>
      <c r="AD832" t="s">
        <v>74</v>
      </c>
      <c r="AE832" t="s">
        <v>74</v>
      </c>
      <c r="AF832" t="s">
        <v>74</v>
      </c>
      <c r="AG832">
        <v>38</v>
      </c>
      <c r="AH832">
        <v>3</v>
      </c>
      <c r="AI832">
        <v>4</v>
      </c>
      <c r="AJ832">
        <v>0</v>
      </c>
      <c r="AK832">
        <v>0</v>
      </c>
      <c r="AL832" t="s">
        <v>1139</v>
      </c>
      <c r="AM832" t="s">
        <v>476</v>
      </c>
      <c r="AN832" t="s">
        <v>1140</v>
      </c>
      <c r="AO832" t="s">
        <v>7456</v>
      </c>
      <c r="AP832" t="s">
        <v>7457</v>
      </c>
      <c r="AQ832" t="s">
        <v>74</v>
      </c>
      <c r="AR832" t="s">
        <v>7446</v>
      </c>
      <c r="AS832" t="s">
        <v>7458</v>
      </c>
      <c r="AT832" t="s">
        <v>11510</v>
      </c>
      <c r="AU832">
        <v>2006</v>
      </c>
      <c r="AV832">
        <v>14</v>
      </c>
      <c r="AW832">
        <v>1</v>
      </c>
      <c r="AX832" t="s">
        <v>74</v>
      </c>
      <c r="AY832" t="s">
        <v>74</v>
      </c>
      <c r="AZ832" t="s">
        <v>74</v>
      </c>
      <c r="BA832" t="s">
        <v>74</v>
      </c>
      <c r="BB832">
        <v>45</v>
      </c>
      <c r="BC832">
        <v>51</v>
      </c>
      <c r="BD832" t="s">
        <v>74</v>
      </c>
      <c r="BE832" t="s">
        <v>12483</v>
      </c>
      <c r="BF832" t="str">
        <f>HYPERLINK("http://dx.doi.org/10.1017/S0967199406003522","http://dx.doi.org/10.1017/S0967199406003522")</f>
        <v>http://dx.doi.org/10.1017/S0967199406003522</v>
      </c>
      <c r="BG832" t="s">
        <v>74</v>
      </c>
      <c r="BH832" t="s">
        <v>74</v>
      </c>
      <c r="BI832">
        <v>7</v>
      </c>
      <c r="BJ832" t="s">
        <v>7460</v>
      </c>
      <c r="BK832" t="s">
        <v>97</v>
      </c>
      <c r="BL832" t="s">
        <v>7460</v>
      </c>
      <c r="BM832" t="s">
        <v>12484</v>
      </c>
      <c r="BN832">
        <v>16700975</v>
      </c>
      <c r="BO832" t="s">
        <v>147</v>
      </c>
      <c r="BP832" t="s">
        <v>74</v>
      </c>
      <c r="BQ832" t="s">
        <v>74</v>
      </c>
      <c r="BR832" t="s">
        <v>100</v>
      </c>
      <c r="BS832" t="s">
        <v>12485</v>
      </c>
      <c r="BT832" t="str">
        <f>HYPERLINK("https%3A%2F%2Fwww.webofscience.com%2Fwos%2Fwoscc%2Ffull-record%2FWOS:000236477700007","View Full Record in Web of Science")</f>
        <v>View Full Record in Web of Science</v>
      </c>
    </row>
    <row r="833" spans="1:72" x14ac:dyDescent="0.15">
      <c r="A833" t="s">
        <v>72</v>
      </c>
      <c r="B833" t="s">
        <v>12486</v>
      </c>
      <c r="C833" t="s">
        <v>74</v>
      </c>
      <c r="D833" t="s">
        <v>74</v>
      </c>
      <c r="E833" t="s">
        <v>74</v>
      </c>
      <c r="F833" t="s">
        <v>12486</v>
      </c>
      <c r="G833" t="s">
        <v>74</v>
      </c>
      <c r="H833" t="s">
        <v>74</v>
      </c>
      <c r="I833" t="s">
        <v>12487</v>
      </c>
      <c r="J833" t="s">
        <v>3745</v>
      </c>
      <c r="K833" t="s">
        <v>74</v>
      </c>
      <c r="L833" t="s">
        <v>74</v>
      </c>
      <c r="M833" t="s">
        <v>78</v>
      </c>
      <c r="N833" t="s">
        <v>79</v>
      </c>
      <c r="O833" t="s">
        <v>74</v>
      </c>
      <c r="P833" t="s">
        <v>74</v>
      </c>
      <c r="Q833" t="s">
        <v>74</v>
      </c>
      <c r="R833" t="s">
        <v>74</v>
      </c>
      <c r="S833" t="s">
        <v>74</v>
      </c>
      <c r="T833" t="s">
        <v>12488</v>
      </c>
      <c r="U833" t="s">
        <v>12489</v>
      </c>
      <c r="V833" t="s">
        <v>12490</v>
      </c>
      <c r="W833" t="s">
        <v>12491</v>
      </c>
      <c r="X833" t="s">
        <v>12492</v>
      </c>
      <c r="Y833" t="s">
        <v>12493</v>
      </c>
      <c r="Z833" t="s">
        <v>12494</v>
      </c>
      <c r="AA833" t="s">
        <v>12495</v>
      </c>
      <c r="AB833" t="s">
        <v>12496</v>
      </c>
      <c r="AC833" t="s">
        <v>74</v>
      </c>
      <c r="AD833" t="s">
        <v>74</v>
      </c>
      <c r="AE833" t="s">
        <v>74</v>
      </c>
      <c r="AF833" t="s">
        <v>74</v>
      </c>
      <c r="AG833">
        <v>60</v>
      </c>
      <c r="AH833">
        <v>46</v>
      </c>
      <c r="AI833">
        <v>51</v>
      </c>
      <c r="AJ833">
        <v>0</v>
      </c>
      <c r="AK833">
        <v>28</v>
      </c>
      <c r="AL833" t="s">
        <v>519</v>
      </c>
      <c r="AM833" t="s">
        <v>520</v>
      </c>
      <c r="AN833" t="s">
        <v>521</v>
      </c>
      <c r="AO833" t="s">
        <v>3753</v>
      </c>
      <c r="AP833" t="s">
        <v>3754</v>
      </c>
      <c r="AQ833" t="s">
        <v>74</v>
      </c>
      <c r="AR833" t="s">
        <v>3755</v>
      </c>
      <c r="AS833" t="s">
        <v>3756</v>
      </c>
      <c r="AT833" t="s">
        <v>12497</v>
      </c>
      <c r="AU833">
        <v>2006</v>
      </c>
      <c r="AV833">
        <v>241</v>
      </c>
      <c r="AW833" t="s">
        <v>1243</v>
      </c>
      <c r="AX833" t="s">
        <v>74</v>
      </c>
      <c r="AY833" t="s">
        <v>74</v>
      </c>
      <c r="AZ833" t="s">
        <v>74</v>
      </c>
      <c r="BA833" t="s">
        <v>74</v>
      </c>
      <c r="BB833">
        <v>477</v>
      </c>
      <c r="BC833">
        <v>492</v>
      </c>
      <c r="BD833" t="s">
        <v>74</v>
      </c>
      <c r="BE833" t="s">
        <v>12498</v>
      </c>
      <c r="BF833" t="str">
        <f>HYPERLINK("http://dx.doi.org/10.1016/j.epsl.2005.11.035","http://dx.doi.org/10.1016/j.epsl.2005.11.035")</f>
        <v>http://dx.doi.org/10.1016/j.epsl.2005.11.035</v>
      </c>
      <c r="BG833" t="s">
        <v>74</v>
      </c>
      <c r="BH833" t="s">
        <v>74</v>
      </c>
      <c r="BI833">
        <v>16</v>
      </c>
      <c r="BJ833" t="s">
        <v>608</v>
      </c>
      <c r="BK833" t="s">
        <v>97</v>
      </c>
      <c r="BL833" t="s">
        <v>608</v>
      </c>
      <c r="BM833" t="s">
        <v>12499</v>
      </c>
      <c r="BN833" t="s">
        <v>74</v>
      </c>
      <c r="BO833" t="s">
        <v>147</v>
      </c>
      <c r="BP833" t="s">
        <v>74</v>
      </c>
      <c r="BQ833" t="s">
        <v>74</v>
      </c>
      <c r="BR833" t="s">
        <v>100</v>
      </c>
      <c r="BS833" t="s">
        <v>12500</v>
      </c>
      <c r="BT833" t="str">
        <f>HYPERLINK("https%3A%2F%2Fwww.webofscience.com%2Fwos%2Fwoscc%2Ffull-record%2FWOS:000235289000011","View Full Record in Web of Science")</f>
        <v>View Full Record in Web of Science</v>
      </c>
    </row>
    <row r="834" spans="1:72" x14ac:dyDescent="0.15">
      <c r="A834" t="s">
        <v>72</v>
      </c>
      <c r="B834" t="s">
        <v>12501</v>
      </c>
      <c r="C834" t="s">
        <v>74</v>
      </c>
      <c r="D834" t="s">
        <v>74</v>
      </c>
      <c r="E834" t="s">
        <v>74</v>
      </c>
      <c r="F834" t="s">
        <v>12501</v>
      </c>
      <c r="G834" t="s">
        <v>74</v>
      </c>
      <c r="H834" t="s">
        <v>74</v>
      </c>
      <c r="I834" t="s">
        <v>12502</v>
      </c>
      <c r="J834" t="s">
        <v>3745</v>
      </c>
      <c r="K834" t="s">
        <v>74</v>
      </c>
      <c r="L834" t="s">
        <v>74</v>
      </c>
      <c r="M834" t="s">
        <v>78</v>
      </c>
      <c r="N834" t="s">
        <v>79</v>
      </c>
      <c r="O834" t="s">
        <v>74</v>
      </c>
      <c r="P834" t="s">
        <v>74</v>
      </c>
      <c r="Q834" t="s">
        <v>74</v>
      </c>
      <c r="R834" t="s">
        <v>74</v>
      </c>
      <c r="S834" t="s">
        <v>74</v>
      </c>
      <c r="T834" t="s">
        <v>12503</v>
      </c>
      <c r="U834" t="s">
        <v>12504</v>
      </c>
      <c r="V834" t="s">
        <v>12505</v>
      </c>
      <c r="W834" t="s">
        <v>12506</v>
      </c>
      <c r="X834" t="s">
        <v>12507</v>
      </c>
      <c r="Y834" t="s">
        <v>12508</v>
      </c>
      <c r="Z834" t="s">
        <v>12509</v>
      </c>
      <c r="AA834" t="s">
        <v>12510</v>
      </c>
      <c r="AB834" t="s">
        <v>12511</v>
      </c>
      <c r="AC834" t="s">
        <v>12512</v>
      </c>
      <c r="AD834" t="s">
        <v>1328</v>
      </c>
      <c r="AE834" t="s">
        <v>74</v>
      </c>
      <c r="AF834" t="s">
        <v>74</v>
      </c>
      <c r="AG834">
        <v>51</v>
      </c>
      <c r="AH834">
        <v>63</v>
      </c>
      <c r="AI834">
        <v>71</v>
      </c>
      <c r="AJ834">
        <v>0</v>
      </c>
      <c r="AK834">
        <v>26</v>
      </c>
      <c r="AL834" t="s">
        <v>519</v>
      </c>
      <c r="AM834" t="s">
        <v>520</v>
      </c>
      <c r="AN834" t="s">
        <v>521</v>
      </c>
      <c r="AO834" t="s">
        <v>3753</v>
      </c>
      <c r="AP834" t="s">
        <v>3754</v>
      </c>
      <c r="AQ834" t="s">
        <v>74</v>
      </c>
      <c r="AR834" t="s">
        <v>3755</v>
      </c>
      <c r="AS834" t="s">
        <v>3756</v>
      </c>
      <c r="AT834" t="s">
        <v>12497</v>
      </c>
      <c r="AU834">
        <v>2006</v>
      </c>
      <c r="AV834">
        <v>241</v>
      </c>
      <c r="AW834" t="s">
        <v>1243</v>
      </c>
      <c r="AX834" t="s">
        <v>74</v>
      </c>
      <c r="AY834" t="s">
        <v>74</v>
      </c>
      <c r="AZ834" t="s">
        <v>74</v>
      </c>
      <c r="BA834" t="s">
        <v>74</v>
      </c>
      <c r="BB834">
        <v>493</v>
      </c>
      <c r="BC834">
        <v>504</v>
      </c>
      <c r="BD834" t="s">
        <v>74</v>
      </c>
      <c r="BE834" t="s">
        <v>12513</v>
      </c>
      <c r="BF834" t="str">
        <f>HYPERLINK("http://dx.doi.org/10.1016/j.epsl.2005.11.031","http://dx.doi.org/10.1016/j.epsl.2005.11.031")</f>
        <v>http://dx.doi.org/10.1016/j.epsl.2005.11.031</v>
      </c>
      <c r="BG834" t="s">
        <v>74</v>
      </c>
      <c r="BH834" t="s">
        <v>74</v>
      </c>
      <c r="BI834">
        <v>12</v>
      </c>
      <c r="BJ834" t="s">
        <v>608</v>
      </c>
      <c r="BK834" t="s">
        <v>97</v>
      </c>
      <c r="BL834" t="s">
        <v>608</v>
      </c>
      <c r="BM834" t="s">
        <v>12499</v>
      </c>
      <c r="BN834" t="s">
        <v>74</v>
      </c>
      <c r="BO834" t="s">
        <v>74</v>
      </c>
      <c r="BP834" t="s">
        <v>74</v>
      </c>
      <c r="BQ834" t="s">
        <v>74</v>
      </c>
      <c r="BR834" t="s">
        <v>100</v>
      </c>
      <c r="BS834" t="s">
        <v>12514</v>
      </c>
      <c r="BT834" t="str">
        <f>HYPERLINK("https%3A%2F%2Fwww.webofscience.com%2Fwos%2Fwoscc%2Ffull-record%2FWOS:000235289000012","View Full Record in Web of Science")</f>
        <v>View Full Record in Web of Science</v>
      </c>
    </row>
    <row r="835" spans="1:72" x14ac:dyDescent="0.15">
      <c r="A835" t="s">
        <v>72</v>
      </c>
      <c r="B835" t="s">
        <v>12515</v>
      </c>
      <c r="C835" t="s">
        <v>74</v>
      </c>
      <c r="D835" t="s">
        <v>74</v>
      </c>
      <c r="E835" t="s">
        <v>74</v>
      </c>
      <c r="F835" t="s">
        <v>12515</v>
      </c>
      <c r="G835" t="s">
        <v>74</v>
      </c>
      <c r="H835" t="s">
        <v>74</v>
      </c>
      <c r="I835" t="s">
        <v>12516</v>
      </c>
      <c r="J835" t="s">
        <v>3745</v>
      </c>
      <c r="K835" t="s">
        <v>74</v>
      </c>
      <c r="L835" t="s">
        <v>74</v>
      </c>
      <c r="M835" t="s">
        <v>78</v>
      </c>
      <c r="N835" t="s">
        <v>79</v>
      </c>
      <c r="O835" t="s">
        <v>74</v>
      </c>
      <c r="P835" t="s">
        <v>74</v>
      </c>
      <c r="Q835" t="s">
        <v>74</v>
      </c>
      <c r="R835" t="s">
        <v>74</v>
      </c>
      <c r="S835" t="s">
        <v>74</v>
      </c>
      <c r="T835" t="s">
        <v>12517</v>
      </c>
      <c r="U835" t="s">
        <v>12518</v>
      </c>
      <c r="V835" t="s">
        <v>12519</v>
      </c>
      <c r="W835" t="s">
        <v>12520</v>
      </c>
      <c r="X835" t="s">
        <v>12521</v>
      </c>
      <c r="Y835" t="s">
        <v>12522</v>
      </c>
      <c r="Z835" t="s">
        <v>12523</v>
      </c>
      <c r="AA835" t="s">
        <v>12524</v>
      </c>
      <c r="AB835" t="s">
        <v>74</v>
      </c>
      <c r="AC835" t="s">
        <v>74</v>
      </c>
      <c r="AD835" t="s">
        <v>74</v>
      </c>
      <c r="AE835" t="s">
        <v>74</v>
      </c>
      <c r="AF835" t="s">
        <v>74</v>
      </c>
      <c r="AG835">
        <v>56</v>
      </c>
      <c r="AH835">
        <v>337</v>
      </c>
      <c r="AI835">
        <v>376</v>
      </c>
      <c r="AJ835">
        <v>4</v>
      </c>
      <c r="AK835">
        <v>109</v>
      </c>
      <c r="AL835" t="s">
        <v>1261</v>
      </c>
      <c r="AM835" t="s">
        <v>520</v>
      </c>
      <c r="AN835" t="s">
        <v>1262</v>
      </c>
      <c r="AO835" t="s">
        <v>3753</v>
      </c>
      <c r="AP835" t="s">
        <v>74</v>
      </c>
      <c r="AQ835" t="s">
        <v>74</v>
      </c>
      <c r="AR835" t="s">
        <v>3755</v>
      </c>
      <c r="AS835" t="s">
        <v>3756</v>
      </c>
      <c r="AT835" t="s">
        <v>12497</v>
      </c>
      <c r="AU835">
        <v>2006</v>
      </c>
      <c r="AV835">
        <v>241</v>
      </c>
      <c r="AW835" t="s">
        <v>1243</v>
      </c>
      <c r="AX835" t="s">
        <v>74</v>
      </c>
      <c r="AY835" t="s">
        <v>74</v>
      </c>
      <c r="AZ835" t="s">
        <v>74</v>
      </c>
      <c r="BA835" t="s">
        <v>74</v>
      </c>
      <c r="BB835">
        <v>571</v>
      </c>
      <c r="BC835">
        <v>580</v>
      </c>
      <c r="BD835" t="s">
        <v>74</v>
      </c>
      <c r="BE835" t="s">
        <v>12525</v>
      </c>
      <c r="BF835" t="str">
        <f>HYPERLINK("http://dx.doi.org/10.1016/j.epsl.2005.11.028","http://dx.doi.org/10.1016/j.epsl.2005.11.028")</f>
        <v>http://dx.doi.org/10.1016/j.epsl.2005.11.028</v>
      </c>
      <c r="BG835" t="s">
        <v>74</v>
      </c>
      <c r="BH835" t="s">
        <v>74</v>
      </c>
      <c r="BI835">
        <v>10</v>
      </c>
      <c r="BJ835" t="s">
        <v>608</v>
      </c>
      <c r="BK835" t="s">
        <v>97</v>
      </c>
      <c r="BL835" t="s">
        <v>608</v>
      </c>
      <c r="BM835" t="s">
        <v>12499</v>
      </c>
      <c r="BN835" t="s">
        <v>74</v>
      </c>
      <c r="BO835" t="s">
        <v>74</v>
      </c>
      <c r="BP835" t="s">
        <v>74</v>
      </c>
      <c r="BQ835" t="s">
        <v>74</v>
      </c>
      <c r="BR835" t="s">
        <v>100</v>
      </c>
      <c r="BS835" t="s">
        <v>12526</v>
      </c>
      <c r="BT835" t="str">
        <f>HYPERLINK("https%3A%2F%2Fwww.webofscience.com%2Fwos%2Fwoscc%2Ffull-record%2FWOS:000235289000018","View Full Record in Web of Science")</f>
        <v>View Full Record in Web of Science</v>
      </c>
    </row>
    <row r="836" spans="1:72" x14ac:dyDescent="0.15">
      <c r="A836" t="s">
        <v>72</v>
      </c>
      <c r="B836" t="s">
        <v>12527</v>
      </c>
      <c r="C836" t="s">
        <v>74</v>
      </c>
      <c r="D836" t="s">
        <v>74</v>
      </c>
      <c r="E836" t="s">
        <v>74</v>
      </c>
      <c r="F836" t="s">
        <v>12527</v>
      </c>
      <c r="G836" t="s">
        <v>74</v>
      </c>
      <c r="H836" t="s">
        <v>74</v>
      </c>
      <c r="I836" t="s">
        <v>12528</v>
      </c>
      <c r="J836" t="s">
        <v>3745</v>
      </c>
      <c r="K836" t="s">
        <v>74</v>
      </c>
      <c r="L836" t="s">
        <v>74</v>
      </c>
      <c r="M836" t="s">
        <v>78</v>
      </c>
      <c r="N836" t="s">
        <v>79</v>
      </c>
      <c r="O836" t="s">
        <v>74</v>
      </c>
      <c r="P836" t="s">
        <v>74</v>
      </c>
      <c r="Q836" t="s">
        <v>74</v>
      </c>
      <c r="R836" t="s">
        <v>74</v>
      </c>
      <c r="S836" t="s">
        <v>74</v>
      </c>
      <c r="T836" t="s">
        <v>12529</v>
      </c>
      <c r="U836" t="s">
        <v>12530</v>
      </c>
      <c r="V836" t="s">
        <v>12531</v>
      </c>
      <c r="W836" t="s">
        <v>12532</v>
      </c>
      <c r="X836" t="s">
        <v>12533</v>
      </c>
      <c r="Y836" t="s">
        <v>12534</v>
      </c>
      <c r="Z836" t="s">
        <v>12535</v>
      </c>
      <c r="AA836" t="s">
        <v>74</v>
      </c>
      <c r="AB836" t="s">
        <v>74</v>
      </c>
      <c r="AC836" t="s">
        <v>74</v>
      </c>
      <c r="AD836" t="s">
        <v>74</v>
      </c>
      <c r="AE836" t="s">
        <v>74</v>
      </c>
      <c r="AF836" t="s">
        <v>74</v>
      </c>
      <c r="AG836">
        <v>26</v>
      </c>
      <c r="AH836">
        <v>57</v>
      </c>
      <c r="AI836">
        <v>61</v>
      </c>
      <c r="AJ836">
        <v>1</v>
      </c>
      <c r="AK836">
        <v>15</v>
      </c>
      <c r="AL836" t="s">
        <v>519</v>
      </c>
      <c r="AM836" t="s">
        <v>520</v>
      </c>
      <c r="AN836" t="s">
        <v>521</v>
      </c>
      <c r="AO836" t="s">
        <v>3753</v>
      </c>
      <c r="AP836" t="s">
        <v>3754</v>
      </c>
      <c r="AQ836" t="s">
        <v>74</v>
      </c>
      <c r="AR836" t="s">
        <v>3755</v>
      </c>
      <c r="AS836" t="s">
        <v>3756</v>
      </c>
      <c r="AT836" t="s">
        <v>12497</v>
      </c>
      <c r="AU836">
        <v>2006</v>
      </c>
      <c r="AV836">
        <v>241</v>
      </c>
      <c r="AW836" t="s">
        <v>1243</v>
      </c>
      <c r="AX836" t="s">
        <v>74</v>
      </c>
      <c r="AY836" t="s">
        <v>74</v>
      </c>
      <c r="AZ836" t="s">
        <v>74</v>
      </c>
      <c r="BA836" t="s">
        <v>74</v>
      </c>
      <c r="BB836">
        <v>655</v>
      </c>
      <c r="BC836">
        <v>662</v>
      </c>
      <c r="BD836" t="s">
        <v>74</v>
      </c>
      <c r="BE836" t="s">
        <v>12536</v>
      </c>
      <c r="BF836" t="str">
        <f>HYPERLINK("http://dx.doi.org/10.1016/j.epsl.2005.10.040","http://dx.doi.org/10.1016/j.epsl.2005.10.040")</f>
        <v>http://dx.doi.org/10.1016/j.epsl.2005.10.040</v>
      </c>
      <c r="BG836" t="s">
        <v>74</v>
      </c>
      <c r="BH836" t="s">
        <v>74</v>
      </c>
      <c r="BI836">
        <v>8</v>
      </c>
      <c r="BJ836" t="s">
        <v>608</v>
      </c>
      <c r="BK836" t="s">
        <v>97</v>
      </c>
      <c r="BL836" t="s">
        <v>608</v>
      </c>
      <c r="BM836" t="s">
        <v>12499</v>
      </c>
      <c r="BN836" t="s">
        <v>74</v>
      </c>
      <c r="BO836" t="s">
        <v>74</v>
      </c>
      <c r="BP836" t="s">
        <v>74</v>
      </c>
      <c r="BQ836" t="s">
        <v>74</v>
      </c>
      <c r="BR836" t="s">
        <v>100</v>
      </c>
      <c r="BS836" t="s">
        <v>12537</v>
      </c>
      <c r="BT836" t="str">
        <f>HYPERLINK("https%3A%2F%2Fwww.webofscience.com%2Fwos%2Fwoscc%2Ffull-record%2FWOS:000235289000025","View Full Record in Web of Science")</f>
        <v>View Full Record in Web of Science</v>
      </c>
    </row>
    <row r="837" spans="1:72" x14ac:dyDescent="0.15">
      <c r="A837" t="s">
        <v>72</v>
      </c>
      <c r="B837" t="s">
        <v>12538</v>
      </c>
      <c r="C837" t="s">
        <v>74</v>
      </c>
      <c r="D837" t="s">
        <v>74</v>
      </c>
      <c r="E837" t="s">
        <v>74</v>
      </c>
      <c r="F837" t="s">
        <v>12538</v>
      </c>
      <c r="G837" t="s">
        <v>74</v>
      </c>
      <c r="H837" t="s">
        <v>74</v>
      </c>
      <c r="I837" t="s">
        <v>12539</v>
      </c>
      <c r="J837" t="s">
        <v>3899</v>
      </c>
      <c r="K837" t="s">
        <v>74</v>
      </c>
      <c r="L837" t="s">
        <v>74</v>
      </c>
      <c r="M837" t="s">
        <v>78</v>
      </c>
      <c r="N837" t="s">
        <v>79</v>
      </c>
      <c r="O837" t="s">
        <v>74</v>
      </c>
      <c r="P837" t="s">
        <v>74</v>
      </c>
      <c r="Q837" t="s">
        <v>74</v>
      </c>
      <c r="R837" t="s">
        <v>74</v>
      </c>
      <c r="S837" t="s">
        <v>74</v>
      </c>
      <c r="T837" t="s">
        <v>12540</v>
      </c>
      <c r="U837" t="s">
        <v>12541</v>
      </c>
      <c r="V837" t="s">
        <v>12542</v>
      </c>
      <c r="W837" t="s">
        <v>12543</v>
      </c>
      <c r="X837" t="s">
        <v>12544</v>
      </c>
      <c r="Y837" t="s">
        <v>12545</v>
      </c>
      <c r="Z837" t="s">
        <v>12546</v>
      </c>
      <c r="AA837" t="s">
        <v>12547</v>
      </c>
      <c r="AB837" t="s">
        <v>12548</v>
      </c>
      <c r="AC837" t="s">
        <v>74</v>
      </c>
      <c r="AD837" t="s">
        <v>74</v>
      </c>
      <c r="AE837" t="s">
        <v>74</v>
      </c>
      <c r="AF837" t="s">
        <v>74</v>
      </c>
      <c r="AG837">
        <v>84</v>
      </c>
      <c r="AH837">
        <v>53</v>
      </c>
      <c r="AI837">
        <v>61</v>
      </c>
      <c r="AJ837">
        <v>1</v>
      </c>
      <c r="AK837">
        <v>23</v>
      </c>
      <c r="AL837" t="s">
        <v>519</v>
      </c>
      <c r="AM837" t="s">
        <v>520</v>
      </c>
      <c r="AN837" t="s">
        <v>521</v>
      </c>
      <c r="AO837" t="s">
        <v>3910</v>
      </c>
      <c r="AP837" t="s">
        <v>3911</v>
      </c>
      <c r="AQ837" t="s">
        <v>74</v>
      </c>
      <c r="AR837" t="s">
        <v>3912</v>
      </c>
      <c r="AS837" t="s">
        <v>3913</v>
      </c>
      <c r="AT837" t="s">
        <v>12549</v>
      </c>
      <c r="AU837">
        <v>2006</v>
      </c>
      <c r="AV837">
        <v>58</v>
      </c>
      <c r="AW837">
        <v>3</v>
      </c>
      <c r="AX837" t="s">
        <v>74</v>
      </c>
      <c r="AY837" t="s">
        <v>74</v>
      </c>
      <c r="AZ837" t="s">
        <v>74</v>
      </c>
      <c r="BA837" t="s">
        <v>74</v>
      </c>
      <c r="BB837">
        <v>219</v>
      </c>
      <c r="BC837">
        <v>242</v>
      </c>
      <c r="BD837" t="s">
        <v>74</v>
      </c>
      <c r="BE837" t="s">
        <v>12550</v>
      </c>
      <c r="BF837" t="str">
        <f>HYPERLINK("http://dx.doi.org/10.1016/j.marmicro.2005.11.003","http://dx.doi.org/10.1016/j.marmicro.2005.11.003")</f>
        <v>http://dx.doi.org/10.1016/j.marmicro.2005.11.003</v>
      </c>
      <c r="BG837" t="s">
        <v>74</v>
      </c>
      <c r="BH837" t="s">
        <v>74</v>
      </c>
      <c r="BI837">
        <v>24</v>
      </c>
      <c r="BJ837" t="s">
        <v>3916</v>
      </c>
      <c r="BK837" t="s">
        <v>97</v>
      </c>
      <c r="BL837" t="s">
        <v>3916</v>
      </c>
      <c r="BM837" t="s">
        <v>12551</v>
      </c>
      <c r="BN837" t="s">
        <v>74</v>
      </c>
      <c r="BO837" t="s">
        <v>74</v>
      </c>
      <c r="BP837" t="s">
        <v>74</v>
      </c>
      <c r="BQ837" t="s">
        <v>74</v>
      </c>
      <c r="BR837" t="s">
        <v>100</v>
      </c>
      <c r="BS837" t="s">
        <v>12552</v>
      </c>
      <c r="BT837" t="str">
        <f>HYPERLINK("https%3A%2F%2Fwww.webofscience.com%2Fwos%2Fwoscc%2Ffull-record%2FWOS:000235441200004","View Full Record in Web of Science")</f>
        <v>View Full Record in Web of Science</v>
      </c>
    </row>
    <row r="838" spans="1:72" x14ac:dyDescent="0.15">
      <c r="A838" t="s">
        <v>72</v>
      </c>
      <c r="B838" t="s">
        <v>12553</v>
      </c>
      <c r="C838" t="s">
        <v>74</v>
      </c>
      <c r="D838" t="s">
        <v>74</v>
      </c>
      <c r="E838" t="s">
        <v>74</v>
      </c>
      <c r="F838" t="s">
        <v>12553</v>
      </c>
      <c r="G838" t="s">
        <v>74</v>
      </c>
      <c r="H838" t="s">
        <v>74</v>
      </c>
      <c r="I838" t="s">
        <v>12554</v>
      </c>
      <c r="J838" t="s">
        <v>3963</v>
      </c>
      <c r="K838" t="s">
        <v>74</v>
      </c>
      <c r="L838" t="s">
        <v>74</v>
      </c>
      <c r="M838" t="s">
        <v>78</v>
      </c>
      <c r="N838" t="s">
        <v>79</v>
      </c>
      <c r="O838" t="s">
        <v>74</v>
      </c>
      <c r="P838" t="s">
        <v>74</v>
      </c>
      <c r="Q838" t="s">
        <v>74</v>
      </c>
      <c r="R838" t="s">
        <v>74</v>
      </c>
      <c r="S838" t="s">
        <v>74</v>
      </c>
      <c r="T838" t="s">
        <v>12555</v>
      </c>
      <c r="U838" t="s">
        <v>12556</v>
      </c>
      <c r="V838" t="s">
        <v>12557</v>
      </c>
      <c r="W838" t="s">
        <v>12558</v>
      </c>
      <c r="X838" t="s">
        <v>12559</v>
      </c>
      <c r="Y838" t="s">
        <v>12560</v>
      </c>
      <c r="Z838" t="s">
        <v>8621</v>
      </c>
      <c r="AA838" t="s">
        <v>12561</v>
      </c>
      <c r="AB838" t="s">
        <v>12562</v>
      </c>
      <c r="AC838" t="s">
        <v>12563</v>
      </c>
      <c r="AD838" t="s">
        <v>1328</v>
      </c>
      <c r="AE838" t="s">
        <v>74</v>
      </c>
      <c r="AF838" t="s">
        <v>74</v>
      </c>
      <c r="AG838">
        <v>61</v>
      </c>
      <c r="AH838">
        <v>35</v>
      </c>
      <c r="AI838">
        <v>36</v>
      </c>
      <c r="AJ838">
        <v>0</v>
      </c>
      <c r="AK838">
        <v>13</v>
      </c>
      <c r="AL838" t="s">
        <v>1261</v>
      </c>
      <c r="AM838" t="s">
        <v>520</v>
      </c>
      <c r="AN838" t="s">
        <v>1262</v>
      </c>
      <c r="AO838" t="s">
        <v>3976</v>
      </c>
      <c r="AP838" t="s">
        <v>3977</v>
      </c>
      <c r="AQ838" t="s">
        <v>74</v>
      </c>
      <c r="AR838" t="s">
        <v>3978</v>
      </c>
      <c r="AS838" t="s">
        <v>3979</v>
      </c>
      <c r="AT838" t="s">
        <v>12549</v>
      </c>
      <c r="AU838">
        <v>2006</v>
      </c>
      <c r="AV838">
        <v>230</v>
      </c>
      <c r="AW838" t="s">
        <v>1243</v>
      </c>
      <c r="AX838" t="s">
        <v>74</v>
      </c>
      <c r="AY838" t="s">
        <v>74</v>
      </c>
      <c r="AZ838" t="s">
        <v>74</v>
      </c>
      <c r="BA838" t="s">
        <v>74</v>
      </c>
      <c r="BB838">
        <v>299</v>
      </c>
      <c r="BC838">
        <v>318</v>
      </c>
      <c r="BD838" t="s">
        <v>74</v>
      </c>
      <c r="BE838" t="s">
        <v>12564</v>
      </c>
      <c r="BF838" t="str">
        <f>HYPERLINK("http://dx.doi.org/10.1016/j.palaeo.2005.07.021","http://dx.doi.org/10.1016/j.palaeo.2005.07.021")</f>
        <v>http://dx.doi.org/10.1016/j.palaeo.2005.07.021</v>
      </c>
      <c r="BG838" t="s">
        <v>74</v>
      </c>
      <c r="BH838" t="s">
        <v>74</v>
      </c>
      <c r="BI838">
        <v>20</v>
      </c>
      <c r="BJ838" t="s">
        <v>3982</v>
      </c>
      <c r="BK838" t="s">
        <v>97</v>
      </c>
      <c r="BL838" t="s">
        <v>3983</v>
      </c>
      <c r="BM838" t="s">
        <v>12565</v>
      </c>
      <c r="BN838" t="s">
        <v>74</v>
      </c>
      <c r="BO838" t="s">
        <v>74</v>
      </c>
      <c r="BP838" t="s">
        <v>74</v>
      </c>
      <c r="BQ838" t="s">
        <v>74</v>
      </c>
      <c r="BR838" t="s">
        <v>100</v>
      </c>
      <c r="BS838" t="s">
        <v>12566</v>
      </c>
      <c r="BT838" t="str">
        <f>HYPERLINK("https%3A%2F%2Fwww.webofscience.com%2Fwos%2Fwoscc%2Ffull-record%2FWOS:000235260100008","View Full Record in Web of Science")</f>
        <v>View Full Record in Web of Science</v>
      </c>
    </row>
    <row r="839" spans="1:72" x14ac:dyDescent="0.15">
      <c r="A839" t="s">
        <v>72</v>
      </c>
      <c r="B839" t="s">
        <v>12567</v>
      </c>
      <c r="C839" t="s">
        <v>74</v>
      </c>
      <c r="D839" t="s">
        <v>74</v>
      </c>
      <c r="E839" t="s">
        <v>74</v>
      </c>
      <c r="F839" t="s">
        <v>12567</v>
      </c>
      <c r="G839" t="s">
        <v>74</v>
      </c>
      <c r="H839" t="s">
        <v>74</v>
      </c>
      <c r="I839" t="s">
        <v>12568</v>
      </c>
      <c r="J839" t="s">
        <v>3963</v>
      </c>
      <c r="K839" t="s">
        <v>74</v>
      </c>
      <c r="L839" t="s">
        <v>74</v>
      </c>
      <c r="M839" t="s">
        <v>78</v>
      </c>
      <c r="N839" t="s">
        <v>552</v>
      </c>
      <c r="O839" t="s">
        <v>74</v>
      </c>
      <c r="P839" t="s">
        <v>74</v>
      </c>
      <c r="Q839" t="s">
        <v>74</v>
      </c>
      <c r="R839" t="s">
        <v>74</v>
      </c>
      <c r="S839" t="s">
        <v>74</v>
      </c>
      <c r="T839" t="s">
        <v>12569</v>
      </c>
      <c r="U839" t="s">
        <v>12570</v>
      </c>
      <c r="V839" t="s">
        <v>74</v>
      </c>
      <c r="W839" t="s">
        <v>12571</v>
      </c>
      <c r="X839" t="s">
        <v>12572</v>
      </c>
      <c r="Y839" t="s">
        <v>12573</v>
      </c>
      <c r="Z839" t="s">
        <v>12574</v>
      </c>
      <c r="AA839" t="s">
        <v>12575</v>
      </c>
      <c r="AB839" t="s">
        <v>12576</v>
      </c>
      <c r="AC839" t="s">
        <v>5264</v>
      </c>
      <c r="AD839" t="s">
        <v>1328</v>
      </c>
      <c r="AE839" t="s">
        <v>74</v>
      </c>
      <c r="AF839" t="s">
        <v>74</v>
      </c>
      <c r="AG839">
        <v>25</v>
      </c>
      <c r="AH839">
        <v>13</v>
      </c>
      <c r="AI839">
        <v>14</v>
      </c>
      <c r="AJ839">
        <v>0</v>
      </c>
      <c r="AK839">
        <v>4</v>
      </c>
      <c r="AL839" t="s">
        <v>519</v>
      </c>
      <c r="AM839" t="s">
        <v>520</v>
      </c>
      <c r="AN839" t="s">
        <v>521</v>
      </c>
      <c r="AO839" t="s">
        <v>3976</v>
      </c>
      <c r="AP839" t="s">
        <v>3977</v>
      </c>
      <c r="AQ839" t="s">
        <v>74</v>
      </c>
      <c r="AR839" t="s">
        <v>3978</v>
      </c>
      <c r="AS839" t="s">
        <v>3979</v>
      </c>
      <c r="AT839" t="s">
        <v>12549</v>
      </c>
      <c r="AU839">
        <v>2006</v>
      </c>
      <c r="AV839">
        <v>230</v>
      </c>
      <c r="AW839" t="s">
        <v>1243</v>
      </c>
      <c r="AX839" t="s">
        <v>74</v>
      </c>
      <c r="AY839" t="s">
        <v>74</v>
      </c>
      <c r="AZ839" t="s">
        <v>74</v>
      </c>
      <c r="BA839" t="s">
        <v>74</v>
      </c>
      <c r="BB839">
        <v>356</v>
      </c>
      <c r="BC839">
        <v>360</v>
      </c>
      <c r="BD839" t="s">
        <v>74</v>
      </c>
      <c r="BE839" t="s">
        <v>12577</v>
      </c>
      <c r="BF839" t="str">
        <f>HYPERLINK("http://dx.doi.org/10.1016/j.palaeo.2005.10.005","http://dx.doi.org/10.1016/j.palaeo.2005.10.005")</f>
        <v>http://dx.doi.org/10.1016/j.palaeo.2005.10.005</v>
      </c>
      <c r="BG839" t="s">
        <v>74</v>
      </c>
      <c r="BH839" t="s">
        <v>74</v>
      </c>
      <c r="BI839">
        <v>5</v>
      </c>
      <c r="BJ839" t="s">
        <v>3982</v>
      </c>
      <c r="BK839" t="s">
        <v>97</v>
      </c>
      <c r="BL839" t="s">
        <v>3983</v>
      </c>
      <c r="BM839" t="s">
        <v>12565</v>
      </c>
      <c r="BN839" t="s">
        <v>74</v>
      </c>
      <c r="BO839" t="s">
        <v>74</v>
      </c>
      <c r="BP839" t="s">
        <v>74</v>
      </c>
      <c r="BQ839" t="s">
        <v>74</v>
      </c>
      <c r="BR839" t="s">
        <v>100</v>
      </c>
      <c r="BS839" t="s">
        <v>12578</v>
      </c>
      <c r="BT839" t="str">
        <f>HYPERLINK("https%3A%2F%2Fwww.webofscience.com%2Fwos%2Fwoscc%2Ffull-record%2FWOS:000235260100012","View Full Record in Web of Science")</f>
        <v>View Full Record in Web of Science</v>
      </c>
    </row>
    <row r="840" spans="1:72" x14ac:dyDescent="0.15">
      <c r="A840" t="s">
        <v>72</v>
      </c>
      <c r="B840" t="s">
        <v>12579</v>
      </c>
      <c r="C840" t="s">
        <v>74</v>
      </c>
      <c r="D840" t="s">
        <v>74</v>
      </c>
      <c r="E840" t="s">
        <v>74</v>
      </c>
      <c r="F840" t="s">
        <v>12579</v>
      </c>
      <c r="G840" t="s">
        <v>74</v>
      </c>
      <c r="H840" t="s">
        <v>74</v>
      </c>
      <c r="I840" t="s">
        <v>12580</v>
      </c>
      <c r="J840" t="s">
        <v>1862</v>
      </c>
      <c r="K840" t="s">
        <v>74</v>
      </c>
      <c r="L840" t="s">
        <v>74</v>
      </c>
      <c r="M840" t="s">
        <v>78</v>
      </c>
      <c r="N840" t="s">
        <v>79</v>
      </c>
      <c r="O840" t="s">
        <v>74</v>
      </c>
      <c r="P840" t="s">
        <v>74</v>
      </c>
      <c r="Q840" t="s">
        <v>74</v>
      </c>
      <c r="R840" t="s">
        <v>74</v>
      </c>
      <c r="S840" t="s">
        <v>74</v>
      </c>
      <c r="T840" t="s">
        <v>74</v>
      </c>
      <c r="U840" t="s">
        <v>12581</v>
      </c>
      <c r="V840" t="s">
        <v>12582</v>
      </c>
      <c r="W840" t="s">
        <v>12583</v>
      </c>
      <c r="X840" t="s">
        <v>12584</v>
      </c>
      <c r="Y840" t="s">
        <v>7514</v>
      </c>
      <c r="Z840" t="s">
        <v>12585</v>
      </c>
      <c r="AA840" t="s">
        <v>12586</v>
      </c>
      <c r="AB840" t="s">
        <v>12587</v>
      </c>
      <c r="AC840" t="s">
        <v>12588</v>
      </c>
      <c r="AD840" t="s">
        <v>1328</v>
      </c>
      <c r="AE840" t="s">
        <v>74</v>
      </c>
      <c r="AF840" t="s">
        <v>74</v>
      </c>
      <c r="AG840">
        <v>30</v>
      </c>
      <c r="AH840">
        <v>38</v>
      </c>
      <c r="AI840">
        <v>43</v>
      </c>
      <c r="AJ840">
        <v>0</v>
      </c>
      <c r="AK840">
        <v>4</v>
      </c>
      <c r="AL840" t="s">
        <v>1757</v>
      </c>
      <c r="AM840" t="s">
        <v>88</v>
      </c>
      <c r="AN840" t="s">
        <v>1758</v>
      </c>
      <c r="AO840" t="s">
        <v>1871</v>
      </c>
      <c r="AP840" t="s">
        <v>1872</v>
      </c>
      <c r="AQ840" t="s">
        <v>74</v>
      </c>
      <c r="AR840" t="s">
        <v>1873</v>
      </c>
      <c r="AS840" t="s">
        <v>1874</v>
      </c>
      <c r="AT840" t="s">
        <v>12589</v>
      </c>
      <c r="AU840">
        <v>2006</v>
      </c>
      <c r="AV840">
        <v>111</v>
      </c>
      <c r="AW840" t="s">
        <v>12590</v>
      </c>
      <c r="AX840" t="s">
        <v>74</v>
      </c>
      <c r="AY840" t="s">
        <v>74</v>
      </c>
      <c r="AZ840" t="s">
        <v>74</v>
      </c>
      <c r="BA840" t="s">
        <v>74</v>
      </c>
      <c r="BB840" t="s">
        <v>74</v>
      </c>
      <c r="BC840" t="s">
        <v>74</v>
      </c>
      <c r="BD840" t="s">
        <v>12591</v>
      </c>
      <c r="BE840" t="s">
        <v>12592</v>
      </c>
      <c r="BF840" t="str">
        <f>HYPERLINK("http://dx.doi.org/10.1029/2004JA010793","http://dx.doi.org/10.1029/2004JA010793")</f>
        <v>http://dx.doi.org/10.1029/2004JA010793</v>
      </c>
      <c r="BG840" t="s">
        <v>74</v>
      </c>
      <c r="BH840" t="s">
        <v>74</v>
      </c>
      <c r="BI840">
        <v>12</v>
      </c>
      <c r="BJ840" t="s">
        <v>1637</v>
      </c>
      <c r="BK840" t="s">
        <v>97</v>
      </c>
      <c r="BL840" t="s">
        <v>1637</v>
      </c>
      <c r="BM840" t="s">
        <v>12593</v>
      </c>
      <c r="BN840" t="s">
        <v>74</v>
      </c>
      <c r="BO840" t="s">
        <v>460</v>
      </c>
      <c r="BP840" t="s">
        <v>74</v>
      </c>
      <c r="BQ840" t="s">
        <v>74</v>
      </c>
      <c r="BR840" t="s">
        <v>100</v>
      </c>
      <c r="BS840" t="s">
        <v>12594</v>
      </c>
      <c r="BT840" t="str">
        <f>HYPERLINK("https%3A%2F%2Fwww.webofscience.com%2Fwos%2Fwoscc%2Ffull-record%2FWOS:000235028800001","View Full Record in Web of Science")</f>
        <v>View Full Record in Web of Science</v>
      </c>
    </row>
    <row r="841" spans="1:72" x14ac:dyDescent="0.15">
      <c r="A841" t="s">
        <v>72</v>
      </c>
      <c r="B841" t="s">
        <v>12595</v>
      </c>
      <c r="C841" t="s">
        <v>74</v>
      </c>
      <c r="D841" t="s">
        <v>74</v>
      </c>
      <c r="E841" t="s">
        <v>74</v>
      </c>
      <c r="F841" t="s">
        <v>12595</v>
      </c>
      <c r="G841" t="s">
        <v>74</v>
      </c>
      <c r="H841" t="s">
        <v>74</v>
      </c>
      <c r="I841" t="s">
        <v>12596</v>
      </c>
      <c r="J841" t="s">
        <v>1748</v>
      </c>
      <c r="K841" t="s">
        <v>74</v>
      </c>
      <c r="L841" t="s">
        <v>74</v>
      </c>
      <c r="M841" t="s">
        <v>78</v>
      </c>
      <c r="N841" t="s">
        <v>79</v>
      </c>
      <c r="O841" t="s">
        <v>74</v>
      </c>
      <c r="P841" t="s">
        <v>74</v>
      </c>
      <c r="Q841" t="s">
        <v>74</v>
      </c>
      <c r="R841" t="s">
        <v>74</v>
      </c>
      <c r="S841" t="s">
        <v>74</v>
      </c>
      <c r="T841" t="s">
        <v>74</v>
      </c>
      <c r="U841" t="s">
        <v>12597</v>
      </c>
      <c r="V841" t="s">
        <v>12598</v>
      </c>
      <c r="W841" t="s">
        <v>12599</v>
      </c>
      <c r="X841" t="s">
        <v>4413</v>
      </c>
      <c r="Y841" t="s">
        <v>12600</v>
      </c>
      <c r="Z841" t="s">
        <v>12601</v>
      </c>
      <c r="AA841" t="s">
        <v>12602</v>
      </c>
      <c r="AB841" t="s">
        <v>12603</v>
      </c>
      <c r="AC841" t="s">
        <v>74</v>
      </c>
      <c r="AD841" t="s">
        <v>74</v>
      </c>
      <c r="AE841" t="s">
        <v>74</v>
      </c>
      <c r="AF841" t="s">
        <v>74</v>
      </c>
      <c r="AG841">
        <v>23</v>
      </c>
      <c r="AH841">
        <v>74</v>
      </c>
      <c r="AI841">
        <v>81</v>
      </c>
      <c r="AJ841">
        <v>2</v>
      </c>
      <c r="AK841">
        <v>15</v>
      </c>
      <c r="AL841" t="s">
        <v>1757</v>
      </c>
      <c r="AM841" t="s">
        <v>88</v>
      </c>
      <c r="AN841" t="s">
        <v>1758</v>
      </c>
      <c r="AO841" t="s">
        <v>1759</v>
      </c>
      <c r="AP841" t="s">
        <v>1760</v>
      </c>
      <c r="AQ841" t="s">
        <v>74</v>
      </c>
      <c r="AR841" t="s">
        <v>1761</v>
      </c>
      <c r="AS841" t="s">
        <v>1762</v>
      </c>
      <c r="AT841" t="s">
        <v>12604</v>
      </c>
      <c r="AU841">
        <v>2006</v>
      </c>
      <c r="AV841">
        <v>33</v>
      </c>
      <c r="AW841">
        <v>2</v>
      </c>
      <c r="AX841" t="s">
        <v>74</v>
      </c>
      <c r="AY841" t="s">
        <v>74</v>
      </c>
      <c r="AZ841" t="s">
        <v>74</v>
      </c>
      <c r="BA841" t="s">
        <v>74</v>
      </c>
      <c r="BB841" t="s">
        <v>74</v>
      </c>
      <c r="BC841" t="s">
        <v>74</v>
      </c>
      <c r="BD841" t="s">
        <v>12605</v>
      </c>
      <c r="BE841" t="s">
        <v>12606</v>
      </c>
      <c r="BF841" t="str">
        <f>HYPERLINK("http://dx.doi.org/10.1029/2005GL025239","http://dx.doi.org/10.1029/2005GL025239")</f>
        <v>http://dx.doi.org/10.1029/2005GL025239</v>
      </c>
      <c r="BG841" t="s">
        <v>74</v>
      </c>
      <c r="BH841" t="s">
        <v>74</v>
      </c>
      <c r="BI841">
        <v>4</v>
      </c>
      <c r="BJ841" t="s">
        <v>527</v>
      </c>
      <c r="BK841" t="s">
        <v>97</v>
      </c>
      <c r="BL841" t="s">
        <v>528</v>
      </c>
      <c r="BM841" t="s">
        <v>12607</v>
      </c>
      <c r="BN841" t="s">
        <v>74</v>
      </c>
      <c r="BO841" t="s">
        <v>99</v>
      </c>
      <c r="BP841" t="s">
        <v>74</v>
      </c>
      <c r="BQ841" t="s">
        <v>74</v>
      </c>
      <c r="BR841" t="s">
        <v>100</v>
      </c>
      <c r="BS841" t="s">
        <v>12608</v>
      </c>
      <c r="BT841" t="str">
        <f>HYPERLINK("https%3A%2F%2Fwww.webofscience.com%2Fwos%2Fwoscc%2Ffull-record%2FWOS:000235025800007","View Full Record in Web of Science")</f>
        <v>View Full Record in Web of Science</v>
      </c>
    </row>
    <row r="842" spans="1:72" x14ac:dyDescent="0.15">
      <c r="A842" t="s">
        <v>72</v>
      </c>
      <c r="B842" t="s">
        <v>12609</v>
      </c>
      <c r="C842" t="s">
        <v>74</v>
      </c>
      <c r="D842" t="s">
        <v>74</v>
      </c>
      <c r="E842" t="s">
        <v>74</v>
      </c>
      <c r="F842" t="s">
        <v>12609</v>
      </c>
      <c r="G842" t="s">
        <v>74</v>
      </c>
      <c r="H842" t="s">
        <v>74</v>
      </c>
      <c r="I842" t="s">
        <v>12610</v>
      </c>
      <c r="J842" t="s">
        <v>12611</v>
      </c>
      <c r="K842" t="s">
        <v>74</v>
      </c>
      <c r="L842" t="s">
        <v>74</v>
      </c>
      <c r="M842" t="s">
        <v>78</v>
      </c>
      <c r="N842" t="s">
        <v>79</v>
      </c>
      <c r="O842" t="s">
        <v>74</v>
      </c>
      <c r="P842" t="s">
        <v>74</v>
      </c>
      <c r="Q842" t="s">
        <v>74</v>
      </c>
      <c r="R842" t="s">
        <v>74</v>
      </c>
      <c r="S842" t="s">
        <v>74</v>
      </c>
      <c r="T842" t="s">
        <v>12612</v>
      </c>
      <c r="U842" t="s">
        <v>12613</v>
      </c>
      <c r="V842" t="s">
        <v>12614</v>
      </c>
      <c r="W842" t="s">
        <v>12615</v>
      </c>
      <c r="X842" t="s">
        <v>12616</v>
      </c>
      <c r="Y842" t="s">
        <v>12617</v>
      </c>
      <c r="Z842" t="s">
        <v>12618</v>
      </c>
      <c r="AA842" t="s">
        <v>12619</v>
      </c>
      <c r="AB842" t="s">
        <v>12620</v>
      </c>
      <c r="AC842" t="s">
        <v>74</v>
      </c>
      <c r="AD842" t="s">
        <v>74</v>
      </c>
      <c r="AE842" t="s">
        <v>74</v>
      </c>
      <c r="AF842" t="s">
        <v>74</v>
      </c>
      <c r="AG842">
        <v>28</v>
      </c>
      <c r="AH842">
        <v>62</v>
      </c>
      <c r="AI842">
        <v>66</v>
      </c>
      <c r="AJ842">
        <v>0</v>
      </c>
      <c r="AK842">
        <v>18</v>
      </c>
      <c r="AL842" t="s">
        <v>1261</v>
      </c>
      <c r="AM842" t="s">
        <v>520</v>
      </c>
      <c r="AN842" t="s">
        <v>1262</v>
      </c>
      <c r="AO842" t="s">
        <v>12621</v>
      </c>
      <c r="AP842" t="s">
        <v>74</v>
      </c>
      <c r="AQ842" t="s">
        <v>74</v>
      </c>
      <c r="AR842" t="s">
        <v>12622</v>
      </c>
      <c r="AS842" t="s">
        <v>12623</v>
      </c>
      <c r="AT842" t="s">
        <v>12624</v>
      </c>
      <c r="AU842">
        <v>2006</v>
      </c>
      <c r="AV842">
        <v>556</v>
      </c>
      <c r="AW842">
        <v>2</v>
      </c>
      <c r="AX842" t="s">
        <v>74</v>
      </c>
      <c r="AY842" t="s">
        <v>74</v>
      </c>
      <c r="AZ842" t="s">
        <v>74</v>
      </c>
      <c r="BA842" t="s">
        <v>74</v>
      </c>
      <c r="BB842">
        <v>476</v>
      </c>
      <c r="BC842">
        <v>483</v>
      </c>
      <c r="BD842" t="s">
        <v>74</v>
      </c>
      <c r="BE842" t="s">
        <v>12625</v>
      </c>
      <c r="BF842" t="str">
        <f>HYPERLINK("http://dx.doi.org/10.1016/j.aca.2005.09.059","http://dx.doi.org/10.1016/j.aca.2005.09.059")</f>
        <v>http://dx.doi.org/10.1016/j.aca.2005.09.059</v>
      </c>
      <c r="BG842" t="s">
        <v>74</v>
      </c>
      <c r="BH842" t="s">
        <v>74</v>
      </c>
      <c r="BI842">
        <v>8</v>
      </c>
      <c r="BJ842" t="s">
        <v>9388</v>
      </c>
      <c r="BK842" t="s">
        <v>97</v>
      </c>
      <c r="BL842" t="s">
        <v>6352</v>
      </c>
      <c r="BM842" t="s">
        <v>12626</v>
      </c>
      <c r="BN842" t="s">
        <v>74</v>
      </c>
      <c r="BO842" t="s">
        <v>74</v>
      </c>
      <c r="BP842" t="s">
        <v>74</v>
      </c>
      <c r="BQ842" t="s">
        <v>74</v>
      </c>
      <c r="BR842" t="s">
        <v>100</v>
      </c>
      <c r="BS842" t="s">
        <v>12627</v>
      </c>
      <c r="BT842" t="str">
        <f>HYPERLINK("https%3A%2F%2Fwww.webofscience.com%2Fwos%2Fwoscc%2Ffull-record%2FWOS:000234729700030","View Full Record in Web of Science")</f>
        <v>View Full Record in Web of Science</v>
      </c>
    </row>
    <row r="843" spans="1:72" x14ac:dyDescent="0.15">
      <c r="A843" t="s">
        <v>72</v>
      </c>
      <c r="B843" t="s">
        <v>12628</v>
      </c>
      <c r="C843" t="s">
        <v>74</v>
      </c>
      <c r="D843" t="s">
        <v>74</v>
      </c>
      <c r="E843" t="s">
        <v>74</v>
      </c>
      <c r="F843" t="s">
        <v>12628</v>
      </c>
      <c r="G843" t="s">
        <v>74</v>
      </c>
      <c r="H843" t="s">
        <v>74</v>
      </c>
      <c r="I843" t="s">
        <v>12629</v>
      </c>
      <c r="J843" t="s">
        <v>2470</v>
      </c>
      <c r="K843" t="s">
        <v>74</v>
      </c>
      <c r="L843" t="s">
        <v>74</v>
      </c>
      <c r="M843" t="s">
        <v>78</v>
      </c>
      <c r="N843" t="s">
        <v>79</v>
      </c>
      <c r="O843" t="s">
        <v>74</v>
      </c>
      <c r="P843" t="s">
        <v>74</v>
      </c>
      <c r="Q843" t="s">
        <v>74</v>
      </c>
      <c r="R843" t="s">
        <v>74</v>
      </c>
      <c r="S843" t="s">
        <v>74</v>
      </c>
      <c r="T843" t="s">
        <v>12630</v>
      </c>
      <c r="U843" t="s">
        <v>12631</v>
      </c>
      <c r="V843" t="s">
        <v>12632</v>
      </c>
      <c r="W843" t="s">
        <v>12633</v>
      </c>
      <c r="X843" t="s">
        <v>6241</v>
      </c>
      <c r="Y843" t="s">
        <v>12634</v>
      </c>
      <c r="Z843" t="s">
        <v>12635</v>
      </c>
      <c r="AA843" t="s">
        <v>12636</v>
      </c>
      <c r="AB843" t="s">
        <v>12637</v>
      </c>
      <c r="AC843" t="s">
        <v>74</v>
      </c>
      <c r="AD843" t="s">
        <v>74</v>
      </c>
      <c r="AE843" t="s">
        <v>74</v>
      </c>
      <c r="AF843" t="s">
        <v>74</v>
      </c>
      <c r="AG843">
        <v>58</v>
      </c>
      <c r="AH843">
        <v>22</v>
      </c>
      <c r="AI843">
        <v>24</v>
      </c>
      <c r="AJ843">
        <v>0</v>
      </c>
      <c r="AK843">
        <v>16</v>
      </c>
      <c r="AL843" t="s">
        <v>1261</v>
      </c>
      <c r="AM843" t="s">
        <v>520</v>
      </c>
      <c r="AN843" t="s">
        <v>1262</v>
      </c>
      <c r="AO843" t="s">
        <v>2478</v>
      </c>
      <c r="AP843" t="s">
        <v>74</v>
      </c>
      <c r="AQ843" t="s">
        <v>74</v>
      </c>
      <c r="AR843" t="s">
        <v>2480</v>
      </c>
      <c r="AS843" t="s">
        <v>2481</v>
      </c>
      <c r="AT843" t="s">
        <v>12638</v>
      </c>
      <c r="AU843">
        <v>2006</v>
      </c>
      <c r="AV843">
        <v>328</v>
      </c>
      <c r="AW843">
        <v>2</v>
      </c>
      <c r="AX843" t="s">
        <v>74</v>
      </c>
      <c r="AY843" t="s">
        <v>74</v>
      </c>
      <c r="AZ843" t="s">
        <v>74</v>
      </c>
      <c r="BA843" t="s">
        <v>74</v>
      </c>
      <c r="BB843">
        <v>228</v>
      </c>
      <c r="BC843">
        <v>239</v>
      </c>
      <c r="BD843" t="s">
        <v>74</v>
      </c>
      <c r="BE843" t="s">
        <v>12639</v>
      </c>
      <c r="BF843" t="str">
        <f>HYPERLINK("http://dx.doi.org/10.1016/j.jembe.2005.07.009","http://dx.doi.org/10.1016/j.jembe.2005.07.009")</f>
        <v>http://dx.doi.org/10.1016/j.jembe.2005.07.009</v>
      </c>
      <c r="BG843" t="s">
        <v>74</v>
      </c>
      <c r="BH843" t="s">
        <v>74</v>
      </c>
      <c r="BI843">
        <v>12</v>
      </c>
      <c r="BJ843" t="s">
        <v>2483</v>
      </c>
      <c r="BK843" t="s">
        <v>97</v>
      </c>
      <c r="BL843" t="s">
        <v>1288</v>
      </c>
      <c r="BM843" t="s">
        <v>12640</v>
      </c>
      <c r="BN843" t="s">
        <v>74</v>
      </c>
      <c r="BO843" t="s">
        <v>886</v>
      </c>
      <c r="BP843" t="s">
        <v>74</v>
      </c>
      <c r="BQ843" t="s">
        <v>74</v>
      </c>
      <c r="BR843" t="s">
        <v>100</v>
      </c>
      <c r="BS843" t="s">
        <v>12641</v>
      </c>
      <c r="BT843" t="str">
        <f>HYPERLINK("https%3A%2F%2Fwww.webofscience.com%2Fwos%2Fwoscc%2Ffull-record%2FWOS:000234872000006","View Full Record in Web of Science")</f>
        <v>View Full Record in Web of Science</v>
      </c>
    </row>
    <row r="844" spans="1:72" x14ac:dyDescent="0.15">
      <c r="A844" t="s">
        <v>72</v>
      </c>
      <c r="B844" t="s">
        <v>783</v>
      </c>
      <c r="C844" t="s">
        <v>74</v>
      </c>
      <c r="D844" t="s">
        <v>74</v>
      </c>
      <c r="E844" t="s">
        <v>74</v>
      </c>
      <c r="F844" t="s">
        <v>783</v>
      </c>
      <c r="G844" t="s">
        <v>74</v>
      </c>
      <c r="H844" t="s">
        <v>74</v>
      </c>
      <c r="I844" t="s">
        <v>12642</v>
      </c>
      <c r="J844" t="s">
        <v>4106</v>
      </c>
      <c r="K844" t="s">
        <v>74</v>
      </c>
      <c r="L844" t="s">
        <v>74</v>
      </c>
      <c r="M844" t="s">
        <v>78</v>
      </c>
      <c r="N844" t="s">
        <v>79</v>
      </c>
      <c r="O844" t="s">
        <v>74</v>
      </c>
      <c r="P844" t="s">
        <v>74</v>
      </c>
      <c r="Q844" t="s">
        <v>74</v>
      </c>
      <c r="R844" t="s">
        <v>74</v>
      </c>
      <c r="S844" t="s">
        <v>74</v>
      </c>
      <c r="T844" t="s">
        <v>74</v>
      </c>
      <c r="U844" t="s">
        <v>12643</v>
      </c>
      <c r="V844" t="s">
        <v>12644</v>
      </c>
      <c r="W844" t="s">
        <v>790</v>
      </c>
      <c r="X844" t="s">
        <v>791</v>
      </c>
      <c r="Y844" t="s">
        <v>12645</v>
      </c>
      <c r="Z844" t="s">
        <v>793</v>
      </c>
      <c r="AA844" t="s">
        <v>74</v>
      </c>
      <c r="AB844" t="s">
        <v>74</v>
      </c>
      <c r="AC844" t="s">
        <v>74</v>
      </c>
      <c r="AD844" t="s">
        <v>74</v>
      </c>
      <c r="AE844" t="s">
        <v>74</v>
      </c>
      <c r="AF844" t="s">
        <v>74</v>
      </c>
      <c r="AG844">
        <v>31</v>
      </c>
      <c r="AH844">
        <v>73</v>
      </c>
      <c r="AI844">
        <v>84</v>
      </c>
      <c r="AJ844">
        <v>1</v>
      </c>
      <c r="AK844">
        <v>20</v>
      </c>
      <c r="AL844" t="s">
        <v>1757</v>
      </c>
      <c r="AM844" t="s">
        <v>88</v>
      </c>
      <c r="AN844" t="s">
        <v>1758</v>
      </c>
      <c r="AO844" t="s">
        <v>4115</v>
      </c>
      <c r="AP844" t="s">
        <v>4116</v>
      </c>
      <c r="AQ844" t="s">
        <v>74</v>
      </c>
      <c r="AR844" t="s">
        <v>4117</v>
      </c>
      <c r="AS844" t="s">
        <v>4118</v>
      </c>
      <c r="AT844" t="s">
        <v>12646</v>
      </c>
      <c r="AU844">
        <v>2006</v>
      </c>
      <c r="AV844">
        <v>111</v>
      </c>
      <c r="AW844" t="s">
        <v>9305</v>
      </c>
      <c r="AX844" t="s">
        <v>74</v>
      </c>
      <c r="AY844" t="s">
        <v>74</v>
      </c>
      <c r="AZ844" t="s">
        <v>74</v>
      </c>
      <c r="BA844" t="s">
        <v>74</v>
      </c>
      <c r="BB844" t="s">
        <v>74</v>
      </c>
      <c r="BC844" t="s">
        <v>74</v>
      </c>
      <c r="BD844" t="s">
        <v>12647</v>
      </c>
      <c r="BE844" t="s">
        <v>12648</v>
      </c>
      <c r="BF844" t="str">
        <f>HYPERLINK("http://dx.doi.org/10.1029/2005JF000318","http://dx.doi.org/10.1029/2005JF000318")</f>
        <v>http://dx.doi.org/10.1029/2005JF000318</v>
      </c>
      <c r="BG844" t="s">
        <v>74</v>
      </c>
      <c r="BH844" t="s">
        <v>74</v>
      </c>
      <c r="BI844">
        <v>20</v>
      </c>
      <c r="BJ844" t="s">
        <v>527</v>
      </c>
      <c r="BK844" t="s">
        <v>97</v>
      </c>
      <c r="BL844" t="s">
        <v>528</v>
      </c>
      <c r="BM844" t="s">
        <v>12649</v>
      </c>
      <c r="BN844" t="s">
        <v>74</v>
      </c>
      <c r="BO844" t="s">
        <v>74</v>
      </c>
      <c r="BP844" t="s">
        <v>74</v>
      </c>
      <c r="BQ844" t="s">
        <v>74</v>
      </c>
      <c r="BR844" t="s">
        <v>100</v>
      </c>
      <c r="BS844" t="s">
        <v>12650</v>
      </c>
      <c r="BT844" t="str">
        <f>HYPERLINK("https%3A%2F%2Fwww.webofscience.com%2Fwos%2Fwoscc%2Ffull-record%2FWOS:000234999700001","View Full Record in Web of Science")</f>
        <v>View Full Record in Web of Science</v>
      </c>
    </row>
    <row r="845" spans="1:72" x14ac:dyDescent="0.15">
      <c r="A845" t="s">
        <v>72</v>
      </c>
      <c r="B845" t="s">
        <v>12651</v>
      </c>
      <c r="C845" t="s">
        <v>74</v>
      </c>
      <c r="D845" t="s">
        <v>74</v>
      </c>
      <c r="E845" t="s">
        <v>74</v>
      </c>
      <c r="F845" t="s">
        <v>12651</v>
      </c>
      <c r="G845" t="s">
        <v>74</v>
      </c>
      <c r="H845" t="s">
        <v>74</v>
      </c>
      <c r="I845" t="s">
        <v>12652</v>
      </c>
      <c r="J845" t="s">
        <v>1748</v>
      </c>
      <c r="K845" t="s">
        <v>74</v>
      </c>
      <c r="L845" t="s">
        <v>74</v>
      </c>
      <c r="M845" t="s">
        <v>78</v>
      </c>
      <c r="N845" t="s">
        <v>79</v>
      </c>
      <c r="O845" t="s">
        <v>74</v>
      </c>
      <c r="P845" t="s">
        <v>74</v>
      </c>
      <c r="Q845" t="s">
        <v>74</v>
      </c>
      <c r="R845" t="s">
        <v>74</v>
      </c>
      <c r="S845" t="s">
        <v>74</v>
      </c>
      <c r="T845" t="s">
        <v>74</v>
      </c>
      <c r="U845" t="s">
        <v>12653</v>
      </c>
      <c r="V845" t="s">
        <v>12654</v>
      </c>
      <c r="W845" t="s">
        <v>1168</v>
      </c>
      <c r="X845" t="s">
        <v>407</v>
      </c>
      <c r="Y845" t="s">
        <v>12655</v>
      </c>
      <c r="Z845" t="s">
        <v>12656</v>
      </c>
      <c r="AA845" t="s">
        <v>74</v>
      </c>
      <c r="AB845" t="s">
        <v>74</v>
      </c>
      <c r="AC845" t="s">
        <v>2214</v>
      </c>
      <c r="AD845" t="s">
        <v>413</v>
      </c>
      <c r="AE845" t="s">
        <v>74</v>
      </c>
      <c r="AF845" t="s">
        <v>74</v>
      </c>
      <c r="AG845">
        <v>20</v>
      </c>
      <c r="AH845">
        <v>41</v>
      </c>
      <c r="AI845">
        <v>44</v>
      </c>
      <c r="AJ845">
        <v>0</v>
      </c>
      <c r="AK845">
        <v>9</v>
      </c>
      <c r="AL845" t="s">
        <v>1757</v>
      </c>
      <c r="AM845" t="s">
        <v>88</v>
      </c>
      <c r="AN845" t="s">
        <v>1758</v>
      </c>
      <c r="AO845" t="s">
        <v>1759</v>
      </c>
      <c r="AP845" t="s">
        <v>1760</v>
      </c>
      <c r="AQ845" t="s">
        <v>74</v>
      </c>
      <c r="AR845" t="s">
        <v>1761</v>
      </c>
      <c r="AS845" t="s">
        <v>1762</v>
      </c>
      <c r="AT845" t="s">
        <v>12657</v>
      </c>
      <c r="AU845">
        <v>2006</v>
      </c>
      <c r="AV845">
        <v>33</v>
      </c>
      <c r="AW845">
        <v>2</v>
      </c>
      <c r="AX845" t="s">
        <v>74</v>
      </c>
      <c r="AY845" t="s">
        <v>74</v>
      </c>
      <c r="AZ845" t="s">
        <v>74</v>
      </c>
      <c r="BA845" t="s">
        <v>74</v>
      </c>
      <c r="BB845" t="s">
        <v>74</v>
      </c>
      <c r="BC845" t="s">
        <v>74</v>
      </c>
      <c r="BD845" t="s">
        <v>12658</v>
      </c>
      <c r="BE845" t="s">
        <v>12659</v>
      </c>
      <c r="BF845" t="str">
        <f>HYPERLINK("http://dx.doi.org/10.1029/2005GL024978","http://dx.doi.org/10.1029/2005GL024978")</f>
        <v>http://dx.doi.org/10.1029/2005GL024978</v>
      </c>
      <c r="BG845" t="s">
        <v>74</v>
      </c>
      <c r="BH845" t="s">
        <v>74</v>
      </c>
      <c r="BI845">
        <v>4</v>
      </c>
      <c r="BJ845" t="s">
        <v>527</v>
      </c>
      <c r="BK845" t="s">
        <v>97</v>
      </c>
      <c r="BL845" t="s">
        <v>528</v>
      </c>
      <c r="BM845" t="s">
        <v>12660</v>
      </c>
      <c r="BN845" t="s">
        <v>74</v>
      </c>
      <c r="BO845" t="s">
        <v>74</v>
      </c>
      <c r="BP845" t="s">
        <v>74</v>
      </c>
      <c r="BQ845" t="s">
        <v>74</v>
      </c>
      <c r="BR845" t="s">
        <v>100</v>
      </c>
      <c r="BS845" t="s">
        <v>12661</v>
      </c>
      <c r="BT845" t="str">
        <f>HYPERLINK("https%3A%2F%2Fwww.webofscience.com%2Fwos%2Fwoscc%2Ffull-record%2FWOS:000234998400005","View Full Record in Web of Science")</f>
        <v>View Full Record in Web of Science</v>
      </c>
    </row>
    <row r="846" spans="1:72" x14ac:dyDescent="0.15">
      <c r="A846" t="s">
        <v>72</v>
      </c>
      <c r="B846" t="s">
        <v>12662</v>
      </c>
      <c r="C846" t="s">
        <v>74</v>
      </c>
      <c r="D846" t="s">
        <v>74</v>
      </c>
      <c r="E846" t="s">
        <v>74</v>
      </c>
      <c r="F846" t="s">
        <v>12662</v>
      </c>
      <c r="G846" t="s">
        <v>74</v>
      </c>
      <c r="H846" t="s">
        <v>74</v>
      </c>
      <c r="I846" t="s">
        <v>12663</v>
      </c>
      <c r="J846" t="s">
        <v>1943</v>
      </c>
      <c r="K846" t="s">
        <v>74</v>
      </c>
      <c r="L846" t="s">
        <v>74</v>
      </c>
      <c r="M846" t="s">
        <v>78</v>
      </c>
      <c r="N846" t="s">
        <v>79</v>
      </c>
      <c r="O846" t="s">
        <v>74</v>
      </c>
      <c r="P846" t="s">
        <v>74</v>
      </c>
      <c r="Q846" t="s">
        <v>74</v>
      </c>
      <c r="R846" t="s">
        <v>74</v>
      </c>
      <c r="S846" t="s">
        <v>74</v>
      </c>
      <c r="T846" t="s">
        <v>74</v>
      </c>
      <c r="U846" t="s">
        <v>12664</v>
      </c>
      <c r="V846" t="s">
        <v>12665</v>
      </c>
      <c r="W846" t="s">
        <v>12666</v>
      </c>
      <c r="X846" t="s">
        <v>12667</v>
      </c>
      <c r="Y846" t="s">
        <v>12668</v>
      </c>
      <c r="Z846" t="s">
        <v>11854</v>
      </c>
      <c r="AA846" t="s">
        <v>12669</v>
      </c>
      <c r="AB846" t="s">
        <v>12670</v>
      </c>
      <c r="AC846" t="s">
        <v>74</v>
      </c>
      <c r="AD846" t="s">
        <v>74</v>
      </c>
      <c r="AE846" t="s">
        <v>74</v>
      </c>
      <c r="AF846" t="s">
        <v>74</v>
      </c>
      <c r="AG846">
        <v>66</v>
      </c>
      <c r="AH846">
        <v>7</v>
      </c>
      <c r="AI846">
        <v>7</v>
      </c>
      <c r="AJ846">
        <v>0</v>
      </c>
      <c r="AK846">
        <v>6</v>
      </c>
      <c r="AL846" t="s">
        <v>1757</v>
      </c>
      <c r="AM846" t="s">
        <v>88</v>
      </c>
      <c r="AN846" t="s">
        <v>1758</v>
      </c>
      <c r="AO846" t="s">
        <v>1950</v>
      </c>
      <c r="AP846" t="s">
        <v>74</v>
      </c>
      <c r="AQ846" t="s">
        <v>74</v>
      </c>
      <c r="AR846" t="s">
        <v>1943</v>
      </c>
      <c r="AS846" t="s">
        <v>1952</v>
      </c>
      <c r="AT846" t="s">
        <v>12657</v>
      </c>
      <c r="AU846">
        <v>2006</v>
      </c>
      <c r="AV846">
        <v>21</v>
      </c>
      <c r="AW846">
        <v>1</v>
      </c>
      <c r="AX846" t="s">
        <v>74</v>
      </c>
      <c r="AY846" t="s">
        <v>74</v>
      </c>
      <c r="AZ846" t="s">
        <v>74</v>
      </c>
      <c r="BA846" t="s">
        <v>74</v>
      </c>
      <c r="BB846" t="s">
        <v>74</v>
      </c>
      <c r="BC846" t="s">
        <v>74</v>
      </c>
      <c r="BD846" t="s">
        <v>12671</v>
      </c>
      <c r="BE846" t="s">
        <v>12672</v>
      </c>
      <c r="BF846" t="str">
        <f>HYPERLINK("http://dx.doi.org/10.1029/2005PA001171","http://dx.doi.org/10.1029/2005PA001171")</f>
        <v>http://dx.doi.org/10.1029/2005PA001171</v>
      </c>
      <c r="BG846" t="s">
        <v>74</v>
      </c>
      <c r="BH846" t="s">
        <v>74</v>
      </c>
      <c r="BI846">
        <v>7</v>
      </c>
      <c r="BJ846" t="s">
        <v>1955</v>
      </c>
      <c r="BK846" t="s">
        <v>97</v>
      </c>
      <c r="BL846" t="s">
        <v>1956</v>
      </c>
      <c r="BM846" t="s">
        <v>12673</v>
      </c>
      <c r="BN846" t="s">
        <v>74</v>
      </c>
      <c r="BO846" t="s">
        <v>1767</v>
      </c>
      <c r="BP846" t="s">
        <v>74</v>
      </c>
      <c r="BQ846" t="s">
        <v>74</v>
      </c>
      <c r="BR846" t="s">
        <v>100</v>
      </c>
      <c r="BS846" t="s">
        <v>12674</v>
      </c>
      <c r="BT846" t="str">
        <f>HYPERLINK("https%3A%2F%2Fwww.webofscience.com%2Fwos%2Fwoscc%2Ffull-record%2FWOS:000235000900002","View Full Record in Web of Science")</f>
        <v>View Full Record in Web of Science</v>
      </c>
    </row>
    <row r="847" spans="1:72" x14ac:dyDescent="0.15">
      <c r="A847" t="s">
        <v>72</v>
      </c>
      <c r="B847" t="s">
        <v>12675</v>
      </c>
      <c r="C847" t="s">
        <v>74</v>
      </c>
      <c r="D847" t="s">
        <v>74</v>
      </c>
      <c r="E847" t="s">
        <v>74</v>
      </c>
      <c r="F847" t="s">
        <v>12675</v>
      </c>
      <c r="G847" t="s">
        <v>74</v>
      </c>
      <c r="H847" t="s">
        <v>74</v>
      </c>
      <c r="I847" t="s">
        <v>12676</v>
      </c>
      <c r="J847" t="s">
        <v>12677</v>
      </c>
      <c r="K847" t="s">
        <v>74</v>
      </c>
      <c r="L847" t="s">
        <v>74</v>
      </c>
      <c r="M847" t="s">
        <v>78</v>
      </c>
      <c r="N847" t="s">
        <v>79</v>
      </c>
      <c r="O847" t="s">
        <v>74</v>
      </c>
      <c r="P847" t="s">
        <v>74</v>
      </c>
      <c r="Q847" t="s">
        <v>74</v>
      </c>
      <c r="R847" t="s">
        <v>74</v>
      </c>
      <c r="S847" t="s">
        <v>74</v>
      </c>
      <c r="T847" t="s">
        <v>12678</v>
      </c>
      <c r="U847" t="s">
        <v>74</v>
      </c>
      <c r="V847" t="s">
        <v>12679</v>
      </c>
      <c r="W847" t="s">
        <v>12680</v>
      </c>
      <c r="X847" t="s">
        <v>12681</v>
      </c>
      <c r="Y847" t="s">
        <v>12682</v>
      </c>
      <c r="Z847" t="s">
        <v>12683</v>
      </c>
      <c r="AA847" t="s">
        <v>12684</v>
      </c>
      <c r="AB847" t="s">
        <v>12685</v>
      </c>
      <c r="AC847" t="s">
        <v>74</v>
      </c>
      <c r="AD847" t="s">
        <v>74</v>
      </c>
      <c r="AE847" t="s">
        <v>74</v>
      </c>
      <c r="AF847" t="s">
        <v>74</v>
      </c>
      <c r="AG847">
        <v>17</v>
      </c>
      <c r="AH847">
        <v>12</v>
      </c>
      <c r="AI847">
        <v>14</v>
      </c>
      <c r="AJ847">
        <v>0</v>
      </c>
      <c r="AK847">
        <v>0</v>
      </c>
      <c r="AL847" t="s">
        <v>12686</v>
      </c>
      <c r="AM847" t="s">
        <v>12687</v>
      </c>
      <c r="AN847" t="s">
        <v>12688</v>
      </c>
      <c r="AO847" t="s">
        <v>12689</v>
      </c>
      <c r="AP847" t="s">
        <v>12690</v>
      </c>
      <c r="AQ847" t="s">
        <v>74</v>
      </c>
      <c r="AR847" t="s">
        <v>12677</v>
      </c>
      <c r="AS847" t="s">
        <v>12691</v>
      </c>
      <c r="AT847" t="s">
        <v>12657</v>
      </c>
      <c r="AU847">
        <v>2006</v>
      </c>
      <c r="AV847" t="s">
        <v>74</v>
      </c>
      <c r="AW847">
        <v>1111</v>
      </c>
      <c r="AX847" t="s">
        <v>74</v>
      </c>
      <c r="AY847" t="s">
        <v>74</v>
      </c>
      <c r="AZ847" t="s">
        <v>74</v>
      </c>
      <c r="BA847" t="s">
        <v>74</v>
      </c>
      <c r="BB847">
        <v>21</v>
      </c>
      <c r="BC847">
        <v>58</v>
      </c>
      <c r="BD847" t="s">
        <v>74</v>
      </c>
      <c r="BE847" t="s">
        <v>74</v>
      </c>
      <c r="BF847" t="s">
        <v>74</v>
      </c>
      <c r="BG847" t="s">
        <v>74</v>
      </c>
      <c r="BH847" t="s">
        <v>74</v>
      </c>
      <c r="BI847">
        <v>38</v>
      </c>
      <c r="BJ847" t="s">
        <v>1000</v>
      </c>
      <c r="BK847" t="s">
        <v>97</v>
      </c>
      <c r="BL847" t="s">
        <v>1000</v>
      </c>
      <c r="BM847" t="s">
        <v>12692</v>
      </c>
      <c r="BN847" t="s">
        <v>74</v>
      </c>
      <c r="BO847" t="s">
        <v>74</v>
      </c>
      <c r="BP847" t="s">
        <v>74</v>
      </c>
      <c r="BQ847" t="s">
        <v>74</v>
      </c>
      <c r="BR847" t="s">
        <v>100</v>
      </c>
      <c r="BS847" t="s">
        <v>12693</v>
      </c>
      <c r="BT847" t="str">
        <f>HYPERLINK("https%3A%2F%2Fwww.webofscience.com%2Fwos%2Fwoscc%2Ffull-record%2FWOS:000234893400002","View Full Record in Web of Science")</f>
        <v>View Full Record in Web of Science</v>
      </c>
    </row>
    <row r="848" spans="1:72" x14ac:dyDescent="0.15">
      <c r="A848" t="s">
        <v>72</v>
      </c>
      <c r="B848" t="s">
        <v>12694</v>
      </c>
      <c r="C848" t="s">
        <v>74</v>
      </c>
      <c r="D848" t="s">
        <v>74</v>
      </c>
      <c r="E848" t="s">
        <v>74</v>
      </c>
      <c r="F848" t="s">
        <v>12694</v>
      </c>
      <c r="G848" t="s">
        <v>74</v>
      </c>
      <c r="H848" t="s">
        <v>74</v>
      </c>
      <c r="I848" t="s">
        <v>12695</v>
      </c>
      <c r="J848" t="s">
        <v>1772</v>
      </c>
      <c r="K848" t="s">
        <v>74</v>
      </c>
      <c r="L848" t="s">
        <v>74</v>
      </c>
      <c r="M848" t="s">
        <v>78</v>
      </c>
      <c r="N848" t="s">
        <v>79</v>
      </c>
      <c r="O848" t="s">
        <v>74</v>
      </c>
      <c r="P848" t="s">
        <v>74</v>
      </c>
      <c r="Q848" t="s">
        <v>74</v>
      </c>
      <c r="R848" t="s">
        <v>74</v>
      </c>
      <c r="S848" t="s">
        <v>74</v>
      </c>
      <c r="T848" t="s">
        <v>74</v>
      </c>
      <c r="U848" t="s">
        <v>12696</v>
      </c>
      <c r="V848" t="s">
        <v>12697</v>
      </c>
      <c r="W848" t="s">
        <v>12698</v>
      </c>
      <c r="X848" t="s">
        <v>12699</v>
      </c>
      <c r="Y848" t="s">
        <v>7528</v>
      </c>
      <c r="Z848" t="s">
        <v>12700</v>
      </c>
      <c r="AA848" t="s">
        <v>74</v>
      </c>
      <c r="AB848" t="s">
        <v>12701</v>
      </c>
      <c r="AC848" t="s">
        <v>8896</v>
      </c>
      <c r="AD848" t="s">
        <v>1328</v>
      </c>
      <c r="AE848" t="s">
        <v>74</v>
      </c>
      <c r="AF848" t="s">
        <v>74</v>
      </c>
      <c r="AG848">
        <v>29</v>
      </c>
      <c r="AH848">
        <v>64</v>
      </c>
      <c r="AI848">
        <v>70</v>
      </c>
      <c r="AJ848">
        <v>1</v>
      </c>
      <c r="AK848">
        <v>11</v>
      </c>
      <c r="AL848" t="s">
        <v>1757</v>
      </c>
      <c r="AM848" t="s">
        <v>88</v>
      </c>
      <c r="AN848" t="s">
        <v>1758</v>
      </c>
      <c r="AO848" t="s">
        <v>1779</v>
      </c>
      <c r="AP848" t="s">
        <v>1780</v>
      </c>
      <c r="AQ848" t="s">
        <v>74</v>
      </c>
      <c r="AR848" t="s">
        <v>1781</v>
      </c>
      <c r="AS848" t="s">
        <v>1782</v>
      </c>
      <c r="AT848" t="s">
        <v>12702</v>
      </c>
      <c r="AU848">
        <v>2006</v>
      </c>
      <c r="AV848">
        <v>111</v>
      </c>
      <c r="AW848" t="s">
        <v>12703</v>
      </c>
      <c r="AX848" t="s">
        <v>74</v>
      </c>
      <c r="AY848" t="s">
        <v>74</v>
      </c>
      <c r="AZ848" t="s">
        <v>74</v>
      </c>
      <c r="BA848" t="s">
        <v>74</v>
      </c>
      <c r="BB848" t="s">
        <v>74</v>
      </c>
      <c r="BC848" t="s">
        <v>74</v>
      </c>
      <c r="BD848" t="s">
        <v>12704</v>
      </c>
      <c r="BE848" t="s">
        <v>12705</v>
      </c>
      <c r="BF848" t="str">
        <f>HYPERLINK("http://dx.doi.org/10.1029/2005JD006130","http://dx.doi.org/10.1029/2005JD006130")</f>
        <v>http://dx.doi.org/10.1029/2005JD006130</v>
      </c>
      <c r="BG848" t="s">
        <v>74</v>
      </c>
      <c r="BH848" t="s">
        <v>74</v>
      </c>
      <c r="BI848">
        <v>13</v>
      </c>
      <c r="BJ848" t="s">
        <v>869</v>
      </c>
      <c r="BK848" t="s">
        <v>97</v>
      </c>
      <c r="BL848" t="s">
        <v>869</v>
      </c>
      <c r="BM848" t="s">
        <v>12706</v>
      </c>
      <c r="BN848" t="s">
        <v>74</v>
      </c>
      <c r="BO848" t="s">
        <v>74</v>
      </c>
      <c r="BP848" t="s">
        <v>74</v>
      </c>
      <c r="BQ848" t="s">
        <v>74</v>
      </c>
      <c r="BR848" t="s">
        <v>100</v>
      </c>
      <c r="BS848" t="s">
        <v>12707</v>
      </c>
      <c r="BT848" t="str">
        <f>HYPERLINK("https%3A%2F%2Fwww.webofscience.com%2Fwos%2Fwoscc%2Ffull-record%2FWOS:000234999200005","View Full Record in Web of Science")</f>
        <v>View Full Record in Web of Science</v>
      </c>
    </row>
    <row r="849" spans="1:72" x14ac:dyDescent="0.15">
      <c r="A849" t="s">
        <v>72</v>
      </c>
      <c r="B849" t="s">
        <v>12708</v>
      </c>
      <c r="C849" t="s">
        <v>74</v>
      </c>
      <c r="D849" t="s">
        <v>74</v>
      </c>
      <c r="E849" t="s">
        <v>74</v>
      </c>
      <c r="F849" t="s">
        <v>12708</v>
      </c>
      <c r="G849" t="s">
        <v>74</v>
      </c>
      <c r="H849" t="s">
        <v>74</v>
      </c>
      <c r="I849" t="s">
        <v>12709</v>
      </c>
      <c r="J849" t="s">
        <v>1772</v>
      </c>
      <c r="K849" t="s">
        <v>74</v>
      </c>
      <c r="L849" t="s">
        <v>74</v>
      </c>
      <c r="M849" t="s">
        <v>78</v>
      </c>
      <c r="N849" t="s">
        <v>79</v>
      </c>
      <c r="O849" t="s">
        <v>74</v>
      </c>
      <c r="P849" t="s">
        <v>74</v>
      </c>
      <c r="Q849" t="s">
        <v>74</v>
      </c>
      <c r="R849" t="s">
        <v>74</v>
      </c>
      <c r="S849" t="s">
        <v>74</v>
      </c>
      <c r="T849" t="s">
        <v>74</v>
      </c>
      <c r="U849" t="s">
        <v>12710</v>
      </c>
      <c r="V849" t="s">
        <v>12711</v>
      </c>
      <c r="W849" t="s">
        <v>12712</v>
      </c>
      <c r="X849" t="s">
        <v>12713</v>
      </c>
      <c r="Y849" t="s">
        <v>12714</v>
      </c>
      <c r="Z849" t="s">
        <v>12715</v>
      </c>
      <c r="AA849" t="s">
        <v>12716</v>
      </c>
      <c r="AB849" t="s">
        <v>12717</v>
      </c>
      <c r="AC849" t="s">
        <v>74</v>
      </c>
      <c r="AD849" t="s">
        <v>74</v>
      </c>
      <c r="AE849" t="s">
        <v>74</v>
      </c>
      <c r="AF849" t="s">
        <v>74</v>
      </c>
      <c r="AG849">
        <v>29</v>
      </c>
      <c r="AH849">
        <v>18</v>
      </c>
      <c r="AI849">
        <v>18</v>
      </c>
      <c r="AJ849">
        <v>0</v>
      </c>
      <c r="AK849">
        <v>2</v>
      </c>
      <c r="AL849" t="s">
        <v>1757</v>
      </c>
      <c r="AM849" t="s">
        <v>88</v>
      </c>
      <c r="AN849" t="s">
        <v>1758</v>
      </c>
      <c r="AO849" t="s">
        <v>1779</v>
      </c>
      <c r="AP849" t="s">
        <v>74</v>
      </c>
      <c r="AQ849" t="s">
        <v>74</v>
      </c>
      <c r="AR849" t="s">
        <v>1781</v>
      </c>
      <c r="AS849" t="s">
        <v>1782</v>
      </c>
      <c r="AT849" t="s">
        <v>12718</v>
      </c>
      <c r="AU849">
        <v>2006</v>
      </c>
      <c r="AV849">
        <v>111</v>
      </c>
      <c r="AW849" t="s">
        <v>12703</v>
      </c>
      <c r="AX849" t="s">
        <v>74</v>
      </c>
      <c r="AY849" t="s">
        <v>74</v>
      </c>
      <c r="AZ849" t="s">
        <v>74</v>
      </c>
      <c r="BA849" t="s">
        <v>74</v>
      </c>
      <c r="BB849" t="s">
        <v>74</v>
      </c>
      <c r="BC849" t="s">
        <v>74</v>
      </c>
      <c r="BD849" t="s">
        <v>12719</v>
      </c>
      <c r="BE849" t="s">
        <v>12720</v>
      </c>
      <c r="BF849" t="str">
        <f>HYPERLINK("http://dx.doi.org/10.1029/2005JD006333","http://dx.doi.org/10.1029/2005JD006333")</f>
        <v>http://dx.doi.org/10.1029/2005JD006333</v>
      </c>
      <c r="BG849" t="s">
        <v>74</v>
      </c>
      <c r="BH849" t="s">
        <v>74</v>
      </c>
      <c r="BI849">
        <v>15</v>
      </c>
      <c r="BJ849" t="s">
        <v>869</v>
      </c>
      <c r="BK849" t="s">
        <v>97</v>
      </c>
      <c r="BL849" t="s">
        <v>869</v>
      </c>
      <c r="BM849" t="s">
        <v>12721</v>
      </c>
      <c r="BN849" t="s">
        <v>74</v>
      </c>
      <c r="BO849" t="s">
        <v>460</v>
      </c>
      <c r="BP849" t="s">
        <v>74</v>
      </c>
      <c r="BQ849" t="s">
        <v>74</v>
      </c>
      <c r="BR849" t="s">
        <v>100</v>
      </c>
      <c r="BS849" t="s">
        <v>12722</v>
      </c>
      <c r="BT849" t="str">
        <f>HYPERLINK("https%3A%2F%2Fwww.webofscience.com%2Fwos%2Fwoscc%2Ffull-record%2FWOS:000234999000003","View Full Record in Web of Science")</f>
        <v>View Full Record in Web of Science</v>
      </c>
    </row>
    <row r="850" spans="1:72" x14ac:dyDescent="0.15">
      <c r="A850" t="s">
        <v>72</v>
      </c>
      <c r="B850" t="s">
        <v>12723</v>
      </c>
      <c r="C850" t="s">
        <v>74</v>
      </c>
      <c r="D850" t="s">
        <v>74</v>
      </c>
      <c r="E850" t="s">
        <v>74</v>
      </c>
      <c r="F850" t="s">
        <v>12723</v>
      </c>
      <c r="G850" t="s">
        <v>74</v>
      </c>
      <c r="H850" t="s">
        <v>74</v>
      </c>
      <c r="I850" t="s">
        <v>12724</v>
      </c>
      <c r="J850" t="s">
        <v>2354</v>
      </c>
      <c r="K850" t="s">
        <v>74</v>
      </c>
      <c r="L850" t="s">
        <v>74</v>
      </c>
      <c r="M850" t="s">
        <v>78</v>
      </c>
      <c r="N850" t="s">
        <v>79</v>
      </c>
      <c r="O850" t="s">
        <v>74</v>
      </c>
      <c r="P850" t="s">
        <v>74</v>
      </c>
      <c r="Q850" t="s">
        <v>74</v>
      </c>
      <c r="R850" t="s">
        <v>74</v>
      </c>
      <c r="S850" t="s">
        <v>74</v>
      </c>
      <c r="T850" t="s">
        <v>74</v>
      </c>
      <c r="U850" t="s">
        <v>12725</v>
      </c>
      <c r="V850" t="s">
        <v>12726</v>
      </c>
      <c r="W850" t="s">
        <v>12727</v>
      </c>
      <c r="X850" t="s">
        <v>12728</v>
      </c>
      <c r="Y850" t="s">
        <v>12729</v>
      </c>
      <c r="Z850" t="s">
        <v>12730</v>
      </c>
      <c r="AA850" t="s">
        <v>12731</v>
      </c>
      <c r="AB850" t="s">
        <v>12732</v>
      </c>
      <c r="AC850" t="s">
        <v>12733</v>
      </c>
      <c r="AD850" t="s">
        <v>1328</v>
      </c>
      <c r="AE850" t="s">
        <v>74</v>
      </c>
      <c r="AF850" t="s">
        <v>74</v>
      </c>
      <c r="AG850">
        <v>31</v>
      </c>
      <c r="AH850">
        <v>39</v>
      </c>
      <c r="AI850">
        <v>40</v>
      </c>
      <c r="AJ850">
        <v>0</v>
      </c>
      <c r="AK850">
        <v>3</v>
      </c>
      <c r="AL850" t="s">
        <v>1757</v>
      </c>
      <c r="AM850" t="s">
        <v>88</v>
      </c>
      <c r="AN850" t="s">
        <v>1758</v>
      </c>
      <c r="AO850" t="s">
        <v>2363</v>
      </c>
      <c r="AP850" t="s">
        <v>2364</v>
      </c>
      <c r="AQ850" t="s">
        <v>74</v>
      </c>
      <c r="AR850" t="s">
        <v>2365</v>
      </c>
      <c r="AS850" t="s">
        <v>2366</v>
      </c>
      <c r="AT850" t="s">
        <v>12718</v>
      </c>
      <c r="AU850">
        <v>2006</v>
      </c>
      <c r="AV850">
        <v>111</v>
      </c>
      <c r="AW850" t="s">
        <v>12734</v>
      </c>
      <c r="AX850" t="s">
        <v>74</v>
      </c>
      <c r="AY850" t="s">
        <v>74</v>
      </c>
      <c r="AZ850" t="s">
        <v>74</v>
      </c>
      <c r="BA850" t="s">
        <v>74</v>
      </c>
      <c r="BB850" t="s">
        <v>74</v>
      </c>
      <c r="BC850" t="s">
        <v>74</v>
      </c>
      <c r="BD850" t="s">
        <v>12735</v>
      </c>
      <c r="BE850" t="s">
        <v>12736</v>
      </c>
      <c r="BF850" t="str">
        <f>HYPERLINK("http://dx.doi.org/10.1029/2005JC002915","http://dx.doi.org/10.1029/2005JC002915")</f>
        <v>http://dx.doi.org/10.1029/2005JC002915</v>
      </c>
      <c r="BG850" t="s">
        <v>74</v>
      </c>
      <c r="BH850" t="s">
        <v>74</v>
      </c>
      <c r="BI850">
        <v>13</v>
      </c>
      <c r="BJ850" t="s">
        <v>1069</v>
      </c>
      <c r="BK850" t="s">
        <v>97</v>
      </c>
      <c r="BL850" t="s">
        <v>1069</v>
      </c>
      <c r="BM850" t="s">
        <v>12737</v>
      </c>
      <c r="BN850" t="s">
        <v>74</v>
      </c>
      <c r="BO850" t="s">
        <v>99</v>
      </c>
      <c r="BP850" t="s">
        <v>74</v>
      </c>
      <c r="BQ850" t="s">
        <v>74</v>
      </c>
      <c r="BR850" t="s">
        <v>100</v>
      </c>
      <c r="BS850" t="s">
        <v>12738</v>
      </c>
      <c r="BT850" t="str">
        <f>HYPERLINK("https%3A%2F%2Fwww.webofscience.com%2Fwos%2Fwoscc%2Ffull-record%2FWOS:000234999900001","View Full Record in Web of Science")</f>
        <v>View Full Record in Web of Science</v>
      </c>
    </row>
    <row r="851" spans="1:72" x14ac:dyDescent="0.15">
      <c r="A851" t="s">
        <v>72</v>
      </c>
      <c r="B851" t="s">
        <v>12739</v>
      </c>
      <c r="C851" t="s">
        <v>74</v>
      </c>
      <c r="D851" t="s">
        <v>74</v>
      </c>
      <c r="E851" t="s">
        <v>74</v>
      </c>
      <c r="F851" t="s">
        <v>12739</v>
      </c>
      <c r="G851" t="s">
        <v>74</v>
      </c>
      <c r="H851" t="s">
        <v>74</v>
      </c>
      <c r="I851" t="s">
        <v>12740</v>
      </c>
      <c r="J851" t="s">
        <v>2560</v>
      </c>
      <c r="K851" t="s">
        <v>74</v>
      </c>
      <c r="L851" t="s">
        <v>74</v>
      </c>
      <c r="M851" t="s">
        <v>78</v>
      </c>
      <c r="N851" t="s">
        <v>371</v>
      </c>
      <c r="O851" t="s">
        <v>74</v>
      </c>
      <c r="P851" t="s">
        <v>74</v>
      </c>
      <c r="Q851" t="s">
        <v>74</v>
      </c>
      <c r="R851" t="s">
        <v>74</v>
      </c>
      <c r="S851" t="s">
        <v>74</v>
      </c>
      <c r="T851" t="s">
        <v>74</v>
      </c>
      <c r="U851" t="s">
        <v>74</v>
      </c>
      <c r="V851" t="s">
        <v>74</v>
      </c>
      <c r="W851" t="s">
        <v>12741</v>
      </c>
      <c r="X851" t="s">
        <v>12742</v>
      </c>
      <c r="Y851" t="s">
        <v>12743</v>
      </c>
      <c r="Z851" t="s">
        <v>74</v>
      </c>
      <c r="AA851" t="s">
        <v>12744</v>
      </c>
      <c r="AB851" t="s">
        <v>12745</v>
      </c>
      <c r="AC851" t="s">
        <v>74</v>
      </c>
      <c r="AD851" t="s">
        <v>74</v>
      </c>
      <c r="AE851" t="s">
        <v>74</v>
      </c>
      <c r="AF851" t="s">
        <v>74</v>
      </c>
      <c r="AG851">
        <v>1</v>
      </c>
      <c r="AH851">
        <v>0</v>
      </c>
      <c r="AI851">
        <v>0</v>
      </c>
      <c r="AJ851">
        <v>0</v>
      </c>
      <c r="AK851">
        <v>5</v>
      </c>
      <c r="AL851" t="s">
        <v>2570</v>
      </c>
      <c r="AM851" t="s">
        <v>88</v>
      </c>
      <c r="AN851" t="s">
        <v>2571</v>
      </c>
      <c r="AO851" t="s">
        <v>2572</v>
      </c>
      <c r="AP851" t="s">
        <v>74</v>
      </c>
      <c r="AQ851" t="s">
        <v>74</v>
      </c>
      <c r="AR851" t="s">
        <v>2573</v>
      </c>
      <c r="AS851" t="s">
        <v>2574</v>
      </c>
      <c r="AT851" t="s">
        <v>12746</v>
      </c>
      <c r="AU851">
        <v>2006</v>
      </c>
      <c r="AV851">
        <v>103</v>
      </c>
      <c r="AW851">
        <v>3</v>
      </c>
      <c r="AX851" t="s">
        <v>74</v>
      </c>
      <c r="AY851" t="s">
        <v>74</v>
      </c>
      <c r="AZ851" t="s">
        <v>74</v>
      </c>
      <c r="BA851" t="s">
        <v>74</v>
      </c>
      <c r="BB851">
        <v>825</v>
      </c>
      <c r="BC851">
        <v>825</v>
      </c>
      <c r="BD851" t="s">
        <v>74</v>
      </c>
      <c r="BE851" t="s">
        <v>74</v>
      </c>
      <c r="BF851" t="s">
        <v>74</v>
      </c>
      <c r="BG851" t="s">
        <v>74</v>
      </c>
      <c r="BH851" t="s">
        <v>74</v>
      </c>
      <c r="BI851">
        <v>1</v>
      </c>
      <c r="BJ851" t="s">
        <v>1841</v>
      </c>
      <c r="BK851" t="s">
        <v>97</v>
      </c>
      <c r="BL851" t="s">
        <v>1842</v>
      </c>
      <c r="BM851" t="s">
        <v>12747</v>
      </c>
      <c r="BN851" t="s">
        <v>74</v>
      </c>
      <c r="BO851" t="s">
        <v>74</v>
      </c>
      <c r="BP851" t="s">
        <v>74</v>
      </c>
      <c r="BQ851" t="s">
        <v>74</v>
      </c>
      <c r="BR851" t="s">
        <v>100</v>
      </c>
      <c r="BS851" t="s">
        <v>12748</v>
      </c>
      <c r="BT851" t="str">
        <f>HYPERLINK("https%3A%2F%2Fwww.webofscience.com%2Fwos%2Fwoscc%2Ffull-record%2FWOS:000234727800060","View Full Record in Web of Science")</f>
        <v>View Full Record in Web of Science</v>
      </c>
    </row>
    <row r="852" spans="1:72" x14ac:dyDescent="0.15">
      <c r="A852" t="s">
        <v>72</v>
      </c>
      <c r="B852" t="s">
        <v>12749</v>
      </c>
      <c r="C852" t="s">
        <v>74</v>
      </c>
      <c r="D852" t="s">
        <v>74</v>
      </c>
      <c r="E852" t="s">
        <v>74</v>
      </c>
      <c r="F852" t="s">
        <v>12749</v>
      </c>
      <c r="G852" t="s">
        <v>74</v>
      </c>
      <c r="H852" t="s">
        <v>74</v>
      </c>
      <c r="I852" t="s">
        <v>12750</v>
      </c>
      <c r="J852" t="s">
        <v>1748</v>
      </c>
      <c r="K852" t="s">
        <v>74</v>
      </c>
      <c r="L852" t="s">
        <v>74</v>
      </c>
      <c r="M852" t="s">
        <v>78</v>
      </c>
      <c r="N852" t="s">
        <v>79</v>
      </c>
      <c r="O852" t="s">
        <v>74</v>
      </c>
      <c r="P852" t="s">
        <v>74</v>
      </c>
      <c r="Q852" t="s">
        <v>74</v>
      </c>
      <c r="R852" t="s">
        <v>74</v>
      </c>
      <c r="S852" t="s">
        <v>74</v>
      </c>
      <c r="T852" t="s">
        <v>74</v>
      </c>
      <c r="U852" t="s">
        <v>12751</v>
      </c>
      <c r="V852" t="s">
        <v>12752</v>
      </c>
      <c r="W852" t="s">
        <v>12753</v>
      </c>
      <c r="X852" t="s">
        <v>12754</v>
      </c>
      <c r="Y852" t="s">
        <v>12755</v>
      </c>
      <c r="Z852" t="s">
        <v>12756</v>
      </c>
      <c r="AA852" t="s">
        <v>12757</v>
      </c>
      <c r="AB852" t="s">
        <v>12758</v>
      </c>
      <c r="AC852" t="s">
        <v>2995</v>
      </c>
      <c r="AD852" t="s">
        <v>1328</v>
      </c>
      <c r="AE852" t="s">
        <v>74</v>
      </c>
      <c r="AF852" t="s">
        <v>74</v>
      </c>
      <c r="AG852">
        <v>13</v>
      </c>
      <c r="AH852">
        <v>30</v>
      </c>
      <c r="AI852">
        <v>31</v>
      </c>
      <c r="AJ852">
        <v>0</v>
      </c>
      <c r="AK852">
        <v>1</v>
      </c>
      <c r="AL852" t="s">
        <v>1757</v>
      </c>
      <c r="AM852" t="s">
        <v>88</v>
      </c>
      <c r="AN852" t="s">
        <v>1758</v>
      </c>
      <c r="AO852" t="s">
        <v>1759</v>
      </c>
      <c r="AP852" t="s">
        <v>1760</v>
      </c>
      <c r="AQ852" t="s">
        <v>74</v>
      </c>
      <c r="AR852" t="s">
        <v>1761</v>
      </c>
      <c r="AS852" t="s">
        <v>1762</v>
      </c>
      <c r="AT852" t="s">
        <v>12759</v>
      </c>
      <c r="AU852">
        <v>2006</v>
      </c>
      <c r="AV852">
        <v>33</v>
      </c>
      <c r="AW852">
        <v>1</v>
      </c>
      <c r="AX852" t="s">
        <v>74</v>
      </c>
      <c r="AY852" t="s">
        <v>74</v>
      </c>
      <c r="AZ852" t="s">
        <v>74</v>
      </c>
      <c r="BA852" t="s">
        <v>74</v>
      </c>
      <c r="BB852" t="s">
        <v>74</v>
      </c>
      <c r="BC852" t="s">
        <v>74</v>
      </c>
      <c r="BD852" t="s">
        <v>12760</v>
      </c>
      <c r="BE852" t="s">
        <v>12761</v>
      </c>
      <c r="BF852" t="str">
        <f>HYPERLINK("http://dx.doi.org/10.1029/2005GL024661","http://dx.doi.org/10.1029/2005GL024661")</f>
        <v>http://dx.doi.org/10.1029/2005GL024661</v>
      </c>
      <c r="BG852" t="s">
        <v>74</v>
      </c>
      <c r="BH852" t="s">
        <v>74</v>
      </c>
      <c r="BI852">
        <v>5</v>
      </c>
      <c r="BJ852" t="s">
        <v>527</v>
      </c>
      <c r="BK852" t="s">
        <v>97</v>
      </c>
      <c r="BL852" t="s">
        <v>528</v>
      </c>
      <c r="BM852" t="s">
        <v>12762</v>
      </c>
      <c r="BN852" t="s">
        <v>74</v>
      </c>
      <c r="BO852" t="s">
        <v>460</v>
      </c>
      <c r="BP852" t="s">
        <v>74</v>
      </c>
      <c r="BQ852" t="s">
        <v>74</v>
      </c>
      <c r="BR852" t="s">
        <v>100</v>
      </c>
      <c r="BS852" t="s">
        <v>12763</v>
      </c>
      <c r="BT852" t="str">
        <f>HYPERLINK("https%3A%2F%2Fwww.webofscience.com%2Fwos%2Fwoscc%2Ffull-record%2FWOS:000234994700004","View Full Record in Web of Science")</f>
        <v>View Full Record in Web of Science</v>
      </c>
    </row>
    <row r="853" spans="1:72" x14ac:dyDescent="0.15">
      <c r="A853" t="s">
        <v>72</v>
      </c>
      <c r="B853" t="s">
        <v>12764</v>
      </c>
      <c r="C853" t="s">
        <v>74</v>
      </c>
      <c r="D853" t="s">
        <v>74</v>
      </c>
      <c r="E853" t="s">
        <v>74</v>
      </c>
      <c r="F853" t="s">
        <v>12764</v>
      </c>
      <c r="G853" t="s">
        <v>74</v>
      </c>
      <c r="H853" t="s">
        <v>74</v>
      </c>
      <c r="I853" t="s">
        <v>12765</v>
      </c>
      <c r="J853" t="s">
        <v>2470</v>
      </c>
      <c r="K853" t="s">
        <v>74</v>
      </c>
      <c r="L853" t="s">
        <v>74</v>
      </c>
      <c r="M853" t="s">
        <v>78</v>
      </c>
      <c r="N853" t="s">
        <v>79</v>
      </c>
      <c r="O853" t="s">
        <v>74</v>
      </c>
      <c r="P853" t="s">
        <v>74</v>
      </c>
      <c r="Q853" t="s">
        <v>74</v>
      </c>
      <c r="R853" t="s">
        <v>74</v>
      </c>
      <c r="S853" t="s">
        <v>74</v>
      </c>
      <c r="T853" t="s">
        <v>12766</v>
      </c>
      <c r="U853" t="s">
        <v>12767</v>
      </c>
      <c r="V853" t="s">
        <v>12768</v>
      </c>
      <c r="W853" t="s">
        <v>12769</v>
      </c>
      <c r="X853" t="s">
        <v>12770</v>
      </c>
      <c r="Y853" t="s">
        <v>12771</v>
      </c>
      <c r="Z853" t="s">
        <v>12772</v>
      </c>
      <c r="AA853" t="s">
        <v>12773</v>
      </c>
      <c r="AB853" t="s">
        <v>12774</v>
      </c>
      <c r="AC853" t="s">
        <v>74</v>
      </c>
      <c r="AD853" t="s">
        <v>74</v>
      </c>
      <c r="AE853" t="s">
        <v>74</v>
      </c>
      <c r="AF853" t="s">
        <v>74</v>
      </c>
      <c r="AG853">
        <v>35</v>
      </c>
      <c r="AH853">
        <v>24</v>
      </c>
      <c r="AI853">
        <v>29</v>
      </c>
      <c r="AJ853">
        <v>1</v>
      </c>
      <c r="AK853">
        <v>12</v>
      </c>
      <c r="AL853" t="s">
        <v>1261</v>
      </c>
      <c r="AM853" t="s">
        <v>520</v>
      </c>
      <c r="AN853" t="s">
        <v>1262</v>
      </c>
      <c r="AO853" t="s">
        <v>2478</v>
      </c>
      <c r="AP853" t="s">
        <v>2479</v>
      </c>
      <c r="AQ853" t="s">
        <v>74</v>
      </c>
      <c r="AR853" t="s">
        <v>2480</v>
      </c>
      <c r="AS853" t="s">
        <v>2481</v>
      </c>
      <c r="AT853" t="s">
        <v>12759</v>
      </c>
      <c r="AU853">
        <v>2006</v>
      </c>
      <c r="AV853">
        <v>328</v>
      </c>
      <c r="AW853">
        <v>1</v>
      </c>
      <c r="AX853" t="s">
        <v>74</v>
      </c>
      <c r="AY853" t="s">
        <v>74</v>
      </c>
      <c r="AZ853" t="s">
        <v>74</v>
      </c>
      <c r="BA853" t="s">
        <v>74</v>
      </c>
      <c r="BB853">
        <v>10</v>
      </c>
      <c r="BC853">
        <v>21</v>
      </c>
      <c r="BD853" t="s">
        <v>74</v>
      </c>
      <c r="BE853" t="s">
        <v>12775</v>
      </c>
      <c r="BF853" t="str">
        <f>HYPERLINK("http://dx.doi.org/10.1016/j.jembe.2005.06.010","http://dx.doi.org/10.1016/j.jembe.2005.06.010")</f>
        <v>http://dx.doi.org/10.1016/j.jembe.2005.06.010</v>
      </c>
      <c r="BG853" t="s">
        <v>74</v>
      </c>
      <c r="BH853" t="s">
        <v>74</v>
      </c>
      <c r="BI853">
        <v>12</v>
      </c>
      <c r="BJ853" t="s">
        <v>2483</v>
      </c>
      <c r="BK853" t="s">
        <v>97</v>
      </c>
      <c r="BL853" t="s">
        <v>1288</v>
      </c>
      <c r="BM853" t="s">
        <v>12776</v>
      </c>
      <c r="BN853" t="s">
        <v>74</v>
      </c>
      <c r="BO853" t="s">
        <v>74</v>
      </c>
      <c r="BP853" t="s">
        <v>74</v>
      </c>
      <c r="BQ853" t="s">
        <v>74</v>
      </c>
      <c r="BR853" t="s">
        <v>100</v>
      </c>
      <c r="BS853" t="s">
        <v>12777</v>
      </c>
      <c r="BT853" t="str">
        <f>HYPERLINK("https%3A%2F%2Fwww.webofscience.com%2Fwos%2Fwoscc%2Ffull-record%2FWOS:000234522900002","View Full Record in Web of Science")</f>
        <v>View Full Record in Web of Science</v>
      </c>
    </row>
    <row r="854" spans="1:72" x14ac:dyDescent="0.15">
      <c r="A854" t="s">
        <v>72</v>
      </c>
      <c r="B854" t="s">
        <v>12778</v>
      </c>
      <c r="C854" t="s">
        <v>74</v>
      </c>
      <c r="D854" t="s">
        <v>74</v>
      </c>
      <c r="E854" t="s">
        <v>74</v>
      </c>
      <c r="F854" t="s">
        <v>12778</v>
      </c>
      <c r="G854" t="s">
        <v>74</v>
      </c>
      <c r="H854" t="s">
        <v>74</v>
      </c>
      <c r="I854" t="s">
        <v>12779</v>
      </c>
      <c r="J854" t="s">
        <v>2470</v>
      </c>
      <c r="K854" t="s">
        <v>74</v>
      </c>
      <c r="L854" t="s">
        <v>74</v>
      </c>
      <c r="M854" t="s">
        <v>78</v>
      </c>
      <c r="N854" t="s">
        <v>79</v>
      </c>
      <c r="O854" t="s">
        <v>74</v>
      </c>
      <c r="P854" t="s">
        <v>74</v>
      </c>
      <c r="Q854" t="s">
        <v>74</v>
      </c>
      <c r="R854" t="s">
        <v>74</v>
      </c>
      <c r="S854" t="s">
        <v>74</v>
      </c>
      <c r="T854" t="s">
        <v>12780</v>
      </c>
      <c r="U854" t="s">
        <v>12781</v>
      </c>
      <c r="V854" t="s">
        <v>12782</v>
      </c>
      <c r="W854" t="s">
        <v>12783</v>
      </c>
      <c r="X854" t="s">
        <v>7992</v>
      </c>
      <c r="Y854" t="s">
        <v>12784</v>
      </c>
      <c r="Z854" t="s">
        <v>12785</v>
      </c>
      <c r="AA854" t="s">
        <v>12786</v>
      </c>
      <c r="AB854" t="s">
        <v>12787</v>
      </c>
      <c r="AC854" t="s">
        <v>74</v>
      </c>
      <c r="AD854" t="s">
        <v>74</v>
      </c>
      <c r="AE854" t="s">
        <v>74</v>
      </c>
      <c r="AF854" t="s">
        <v>74</v>
      </c>
      <c r="AG854">
        <v>50</v>
      </c>
      <c r="AH854">
        <v>20</v>
      </c>
      <c r="AI854">
        <v>25</v>
      </c>
      <c r="AJ854">
        <v>0</v>
      </c>
      <c r="AK854">
        <v>16</v>
      </c>
      <c r="AL854" t="s">
        <v>1261</v>
      </c>
      <c r="AM854" t="s">
        <v>520</v>
      </c>
      <c r="AN854" t="s">
        <v>1262</v>
      </c>
      <c r="AO854" t="s">
        <v>2478</v>
      </c>
      <c r="AP854" t="s">
        <v>2479</v>
      </c>
      <c r="AQ854" t="s">
        <v>74</v>
      </c>
      <c r="AR854" t="s">
        <v>2480</v>
      </c>
      <c r="AS854" t="s">
        <v>2481</v>
      </c>
      <c r="AT854" t="s">
        <v>12759</v>
      </c>
      <c r="AU854">
        <v>2006</v>
      </c>
      <c r="AV854">
        <v>328</v>
      </c>
      <c r="AW854">
        <v>1</v>
      </c>
      <c r="AX854" t="s">
        <v>74</v>
      </c>
      <c r="AY854" t="s">
        <v>74</v>
      </c>
      <c r="AZ854" t="s">
        <v>74</v>
      </c>
      <c r="BA854" t="s">
        <v>74</v>
      </c>
      <c r="BB854">
        <v>98</v>
      </c>
      <c r="BC854">
        <v>112</v>
      </c>
      <c r="BD854" t="s">
        <v>74</v>
      </c>
      <c r="BE854" t="s">
        <v>12788</v>
      </c>
      <c r="BF854" t="str">
        <f>HYPERLINK("http://dx.doi.org/10.1016/j.jembe.2005.07.001","http://dx.doi.org/10.1016/j.jembe.2005.07.001")</f>
        <v>http://dx.doi.org/10.1016/j.jembe.2005.07.001</v>
      </c>
      <c r="BG854" t="s">
        <v>74</v>
      </c>
      <c r="BH854" t="s">
        <v>74</v>
      </c>
      <c r="BI854">
        <v>15</v>
      </c>
      <c r="BJ854" t="s">
        <v>2483</v>
      </c>
      <c r="BK854" t="s">
        <v>97</v>
      </c>
      <c r="BL854" t="s">
        <v>1288</v>
      </c>
      <c r="BM854" t="s">
        <v>12776</v>
      </c>
      <c r="BN854" t="s">
        <v>74</v>
      </c>
      <c r="BO854" t="s">
        <v>74</v>
      </c>
      <c r="BP854" t="s">
        <v>74</v>
      </c>
      <c r="BQ854" t="s">
        <v>74</v>
      </c>
      <c r="BR854" t="s">
        <v>100</v>
      </c>
      <c r="BS854" t="s">
        <v>12789</v>
      </c>
      <c r="BT854" t="str">
        <f>HYPERLINK("https%3A%2F%2Fwww.webofscience.com%2Fwos%2Fwoscc%2Ffull-record%2FWOS:000234522900008","View Full Record in Web of Science")</f>
        <v>View Full Record in Web of Science</v>
      </c>
    </row>
    <row r="855" spans="1:72" x14ac:dyDescent="0.15">
      <c r="A855" t="s">
        <v>72</v>
      </c>
      <c r="B855" t="s">
        <v>12790</v>
      </c>
      <c r="C855" t="s">
        <v>74</v>
      </c>
      <c r="D855" t="s">
        <v>74</v>
      </c>
      <c r="E855" t="s">
        <v>74</v>
      </c>
      <c r="F855" t="s">
        <v>12790</v>
      </c>
      <c r="G855" t="s">
        <v>74</v>
      </c>
      <c r="H855" t="s">
        <v>74</v>
      </c>
      <c r="I855" t="s">
        <v>12791</v>
      </c>
      <c r="J855" t="s">
        <v>2354</v>
      </c>
      <c r="K855" t="s">
        <v>74</v>
      </c>
      <c r="L855" t="s">
        <v>74</v>
      </c>
      <c r="M855" t="s">
        <v>78</v>
      </c>
      <c r="N855" t="s">
        <v>79</v>
      </c>
      <c r="O855" t="s">
        <v>74</v>
      </c>
      <c r="P855" t="s">
        <v>74</v>
      </c>
      <c r="Q855" t="s">
        <v>74</v>
      </c>
      <c r="R855" t="s">
        <v>74</v>
      </c>
      <c r="S855" t="s">
        <v>74</v>
      </c>
      <c r="T855" t="s">
        <v>74</v>
      </c>
      <c r="U855" t="s">
        <v>12792</v>
      </c>
      <c r="V855" t="s">
        <v>12793</v>
      </c>
      <c r="W855" t="s">
        <v>12794</v>
      </c>
      <c r="X855" t="s">
        <v>12795</v>
      </c>
      <c r="Y855" t="s">
        <v>12796</v>
      </c>
      <c r="Z855" t="s">
        <v>12797</v>
      </c>
      <c r="AA855" t="s">
        <v>74</v>
      </c>
      <c r="AB855" t="s">
        <v>74</v>
      </c>
      <c r="AC855" t="s">
        <v>74</v>
      </c>
      <c r="AD855" t="s">
        <v>74</v>
      </c>
      <c r="AE855" t="s">
        <v>74</v>
      </c>
      <c r="AF855" t="s">
        <v>74</v>
      </c>
      <c r="AG855">
        <v>30</v>
      </c>
      <c r="AH855">
        <v>265</v>
      </c>
      <c r="AI855">
        <v>288</v>
      </c>
      <c r="AJ855">
        <v>6</v>
      </c>
      <c r="AK855">
        <v>75</v>
      </c>
      <c r="AL855" t="s">
        <v>1757</v>
      </c>
      <c r="AM855" t="s">
        <v>88</v>
      </c>
      <c r="AN855" t="s">
        <v>1758</v>
      </c>
      <c r="AO855" t="s">
        <v>2363</v>
      </c>
      <c r="AP855" t="s">
        <v>2364</v>
      </c>
      <c r="AQ855" t="s">
        <v>74</v>
      </c>
      <c r="AR855" t="s">
        <v>2365</v>
      </c>
      <c r="AS855" t="s">
        <v>2366</v>
      </c>
      <c r="AT855" t="s">
        <v>12759</v>
      </c>
      <c r="AU855">
        <v>2006</v>
      </c>
      <c r="AV855">
        <v>111</v>
      </c>
      <c r="AW855" t="s">
        <v>12734</v>
      </c>
      <c r="AX855" t="s">
        <v>74</v>
      </c>
      <c r="AY855" t="s">
        <v>74</v>
      </c>
      <c r="AZ855" t="s">
        <v>74</v>
      </c>
      <c r="BA855" t="s">
        <v>74</v>
      </c>
      <c r="BB855" t="s">
        <v>74</v>
      </c>
      <c r="BC855" t="s">
        <v>74</v>
      </c>
      <c r="BD855" t="s">
        <v>12798</v>
      </c>
      <c r="BE855" t="s">
        <v>12799</v>
      </c>
      <c r="BF855" t="str">
        <f>HYPERLINK("http://dx.doi.org/10.1029/2005JC003139","http://dx.doi.org/10.1029/2005JC003139")</f>
        <v>http://dx.doi.org/10.1029/2005JC003139</v>
      </c>
      <c r="BG855" t="s">
        <v>74</v>
      </c>
      <c r="BH855" t="s">
        <v>74</v>
      </c>
      <c r="BI855">
        <v>11</v>
      </c>
      <c r="BJ855" t="s">
        <v>1069</v>
      </c>
      <c r="BK855" t="s">
        <v>97</v>
      </c>
      <c r="BL855" t="s">
        <v>1069</v>
      </c>
      <c r="BM855" t="s">
        <v>12800</v>
      </c>
      <c r="BN855" t="s">
        <v>74</v>
      </c>
      <c r="BO855" t="s">
        <v>12801</v>
      </c>
      <c r="BP855" t="s">
        <v>74</v>
      </c>
      <c r="BQ855" t="s">
        <v>74</v>
      </c>
      <c r="BR855" t="s">
        <v>100</v>
      </c>
      <c r="BS855" t="s">
        <v>12802</v>
      </c>
      <c r="BT855" t="str">
        <f>HYPERLINK("https%3A%2F%2Fwww.webofscience.com%2Fwos%2Fwoscc%2Ffull-record%2FWOS:000234995900001","View Full Record in Web of Science")</f>
        <v>View Full Record in Web of Science</v>
      </c>
    </row>
    <row r="856" spans="1:72" x14ac:dyDescent="0.15">
      <c r="A856" t="s">
        <v>72</v>
      </c>
      <c r="B856" t="s">
        <v>12803</v>
      </c>
      <c r="C856" t="s">
        <v>74</v>
      </c>
      <c r="D856" t="s">
        <v>74</v>
      </c>
      <c r="E856" t="s">
        <v>74</v>
      </c>
      <c r="F856" t="s">
        <v>12803</v>
      </c>
      <c r="G856" t="s">
        <v>74</v>
      </c>
      <c r="H856" t="s">
        <v>74</v>
      </c>
      <c r="I856" t="s">
        <v>12804</v>
      </c>
      <c r="J856" t="s">
        <v>4250</v>
      </c>
      <c r="K856" t="s">
        <v>74</v>
      </c>
      <c r="L856" t="s">
        <v>74</v>
      </c>
      <c r="M856" t="s">
        <v>78</v>
      </c>
      <c r="N856" t="s">
        <v>79</v>
      </c>
      <c r="O856" t="s">
        <v>74</v>
      </c>
      <c r="P856" t="s">
        <v>74</v>
      </c>
      <c r="Q856" t="s">
        <v>74</v>
      </c>
      <c r="R856" t="s">
        <v>74</v>
      </c>
      <c r="S856" t="s">
        <v>74</v>
      </c>
      <c r="T856" t="s">
        <v>74</v>
      </c>
      <c r="U856" t="s">
        <v>12805</v>
      </c>
      <c r="V856" t="s">
        <v>12806</v>
      </c>
      <c r="W856" t="s">
        <v>12807</v>
      </c>
      <c r="X856" t="s">
        <v>12808</v>
      </c>
      <c r="Y856" t="s">
        <v>12809</v>
      </c>
      <c r="Z856" t="s">
        <v>12810</v>
      </c>
      <c r="AA856" t="s">
        <v>12811</v>
      </c>
      <c r="AB856" t="s">
        <v>12812</v>
      </c>
      <c r="AC856" t="s">
        <v>2283</v>
      </c>
      <c r="AD856" t="s">
        <v>413</v>
      </c>
      <c r="AE856" t="s">
        <v>74</v>
      </c>
      <c r="AF856" t="s">
        <v>74</v>
      </c>
      <c r="AG856">
        <v>75</v>
      </c>
      <c r="AH856">
        <v>58</v>
      </c>
      <c r="AI856">
        <v>64</v>
      </c>
      <c r="AJ856">
        <v>0</v>
      </c>
      <c r="AK856">
        <v>25</v>
      </c>
      <c r="AL856" t="s">
        <v>1757</v>
      </c>
      <c r="AM856" t="s">
        <v>88</v>
      </c>
      <c r="AN856" t="s">
        <v>1758</v>
      </c>
      <c r="AO856" t="s">
        <v>4258</v>
      </c>
      <c r="AP856" t="s">
        <v>4259</v>
      </c>
      <c r="AQ856" t="s">
        <v>74</v>
      </c>
      <c r="AR856" t="s">
        <v>4260</v>
      </c>
      <c r="AS856" t="s">
        <v>4261</v>
      </c>
      <c r="AT856" t="s">
        <v>12813</v>
      </c>
      <c r="AU856">
        <v>2006</v>
      </c>
      <c r="AV856">
        <v>111</v>
      </c>
      <c r="AW856" t="s">
        <v>12814</v>
      </c>
      <c r="AX856" t="s">
        <v>74</v>
      </c>
      <c r="AY856" t="s">
        <v>74</v>
      </c>
      <c r="AZ856" t="s">
        <v>74</v>
      </c>
      <c r="BA856" t="s">
        <v>74</v>
      </c>
      <c r="BB856" t="s">
        <v>74</v>
      </c>
      <c r="BC856" t="s">
        <v>74</v>
      </c>
      <c r="BD856" t="s">
        <v>12815</v>
      </c>
      <c r="BE856" t="s">
        <v>12816</v>
      </c>
      <c r="BF856" t="str">
        <f>HYPERLINK("http://dx.doi.org/10.1029/2005JB003766","http://dx.doi.org/10.1029/2005JB003766")</f>
        <v>http://dx.doi.org/10.1029/2005JB003766</v>
      </c>
      <c r="BG856" t="s">
        <v>74</v>
      </c>
      <c r="BH856" t="s">
        <v>74</v>
      </c>
      <c r="BI856">
        <v>14</v>
      </c>
      <c r="BJ856" t="s">
        <v>608</v>
      </c>
      <c r="BK856" t="s">
        <v>97</v>
      </c>
      <c r="BL856" t="s">
        <v>608</v>
      </c>
      <c r="BM856" t="s">
        <v>12817</v>
      </c>
      <c r="BN856" t="s">
        <v>74</v>
      </c>
      <c r="BO856" t="s">
        <v>886</v>
      </c>
      <c r="BP856" t="s">
        <v>74</v>
      </c>
      <c r="BQ856" t="s">
        <v>74</v>
      </c>
      <c r="BR856" t="s">
        <v>100</v>
      </c>
      <c r="BS856" t="s">
        <v>12818</v>
      </c>
      <c r="BT856" t="str">
        <f>HYPERLINK("https%3A%2F%2Fwww.webofscience.com%2Fwos%2Fwoscc%2Ffull-record%2FWOS:000234510300001","View Full Record in Web of Science")</f>
        <v>View Full Record in Web of Science</v>
      </c>
    </row>
    <row r="857" spans="1:72" x14ac:dyDescent="0.15">
      <c r="A857" t="s">
        <v>72</v>
      </c>
      <c r="B857" t="s">
        <v>12819</v>
      </c>
      <c r="C857" t="s">
        <v>74</v>
      </c>
      <c r="D857" t="s">
        <v>74</v>
      </c>
      <c r="E857" t="s">
        <v>74</v>
      </c>
      <c r="F857" t="s">
        <v>12819</v>
      </c>
      <c r="G857" t="s">
        <v>74</v>
      </c>
      <c r="H857" t="s">
        <v>74</v>
      </c>
      <c r="I857" t="s">
        <v>12820</v>
      </c>
      <c r="J857" t="s">
        <v>2521</v>
      </c>
      <c r="K857" t="s">
        <v>74</v>
      </c>
      <c r="L857" t="s">
        <v>74</v>
      </c>
      <c r="M857" t="s">
        <v>78</v>
      </c>
      <c r="N857" t="s">
        <v>79</v>
      </c>
      <c r="O857" t="s">
        <v>74</v>
      </c>
      <c r="P857" t="s">
        <v>74</v>
      </c>
      <c r="Q857" t="s">
        <v>74</v>
      </c>
      <c r="R857" t="s">
        <v>74</v>
      </c>
      <c r="S857" t="s">
        <v>74</v>
      </c>
      <c r="T857" t="s">
        <v>12821</v>
      </c>
      <c r="U857" t="s">
        <v>12822</v>
      </c>
      <c r="V857" t="s">
        <v>12823</v>
      </c>
      <c r="W857" t="s">
        <v>12824</v>
      </c>
      <c r="X857" t="s">
        <v>12825</v>
      </c>
      <c r="Y857" t="s">
        <v>12826</v>
      </c>
      <c r="Z857" t="s">
        <v>12827</v>
      </c>
      <c r="AA857" t="s">
        <v>12828</v>
      </c>
      <c r="AB857" t="s">
        <v>12829</v>
      </c>
      <c r="AC857" t="s">
        <v>74</v>
      </c>
      <c r="AD857" t="s">
        <v>74</v>
      </c>
      <c r="AE857" t="s">
        <v>74</v>
      </c>
      <c r="AF857" t="s">
        <v>74</v>
      </c>
      <c r="AG857">
        <v>37</v>
      </c>
      <c r="AH857">
        <v>121</v>
      </c>
      <c r="AI857">
        <v>134</v>
      </c>
      <c r="AJ857">
        <v>0</v>
      </c>
      <c r="AK857">
        <v>88</v>
      </c>
      <c r="AL857" t="s">
        <v>2185</v>
      </c>
      <c r="AM857" t="s">
        <v>557</v>
      </c>
      <c r="AN857" t="s">
        <v>2165</v>
      </c>
      <c r="AO857" t="s">
        <v>2532</v>
      </c>
      <c r="AP857" t="s">
        <v>2533</v>
      </c>
      <c r="AQ857" t="s">
        <v>74</v>
      </c>
      <c r="AR857" t="s">
        <v>2534</v>
      </c>
      <c r="AS857" t="s">
        <v>2535</v>
      </c>
      <c r="AT857" t="s">
        <v>12813</v>
      </c>
      <c r="AU857">
        <v>2006</v>
      </c>
      <c r="AV857">
        <v>273</v>
      </c>
      <c r="AW857">
        <v>1582</v>
      </c>
      <c r="AX857" t="s">
        <v>74</v>
      </c>
      <c r="AY857" t="s">
        <v>74</v>
      </c>
      <c r="AZ857" t="s">
        <v>74</v>
      </c>
      <c r="BA857" t="s">
        <v>74</v>
      </c>
      <c r="BB857">
        <v>11</v>
      </c>
      <c r="BC857">
        <v>17</v>
      </c>
      <c r="BD857" t="s">
        <v>74</v>
      </c>
      <c r="BE857" t="s">
        <v>12830</v>
      </c>
      <c r="BF857" t="str">
        <f>HYPERLINK("http://dx.doi.org/10.1098/rspb.2005.3260","http://dx.doi.org/10.1098/rspb.2005.3260")</f>
        <v>http://dx.doi.org/10.1098/rspb.2005.3260</v>
      </c>
      <c r="BG857" t="s">
        <v>74</v>
      </c>
      <c r="BH857" t="s">
        <v>74</v>
      </c>
      <c r="BI857">
        <v>7</v>
      </c>
      <c r="BJ857" t="s">
        <v>2537</v>
      </c>
      <c r="BK857" t="s">
        <v>97</v>
      </c>
      <c r="BL857" t="s">
        <v>2538</v>
      </c>
      <c r="BM857" t="s">
        <v>12831</v>
      </c>
      <c r="BN857">
        <v>16519228</v>
      </c>
      <c r="BO857" t="s">
        <v>99</v>
      </c>
      <c r="BP857" t="s">
        <v>74</v>
      </c>
      <c r="BQ857" t="s">
        <v>74</v>
      </c>
      <c r="BR857" t="s">
        <v>100</v>
      </c>
      <c r="BS857" t="s">
        <v>12832</v>
      </c>
      <c r="BT857" t="str">
        <f>HYPERLINK("https%3A%2F%2Fwww.webofscience.com%2Fwos%2Fwoscc%2Ffull-record%2FWOS:000234648100002","View Full Record in Web of Science")</f>
        <v>View Full Record in Web of Science</v>
      </c>
    </row>
    <row r="858" spans="1:72" x14ac:dyDescent="0.15">
      <c r="A858" t="s">
        <v>72</v>
      </c>
      <c r="B858" t="s">
        <v>12833</v>
      </c>
      <c r="C858" t="s">
        <v>74</v>
      </c>
      <c r="D858" t="s">
        <v>74</v>
      </c>
      <c r="E858" t="s">
        <v>74</v>
      </c>
      <c r="F858" t="s">
        <v>12833</v>
      </c>
      <c r="G858" t="s">
        <v>74</v>
      </c>
      <c r="H858" t="s">
        <v>74</v>
      </c>
      <c r="I858" t="s">
        <v>12834</v>
      </c>
      <c r="J858" t="s">
        <v>1748</v>
      </c>
      <c r="K858" t="s">
        <v>74</v>
      </c>
      <c r="L858" t="s">
        <v>74</v>
      </c>
      <c r="M858" t="s">
        <v>78</v>
      </c>
      <c r="N858" t="s">
        <v>79</v>
      </c>
      <c r="O858" t="s">
        <v>74</v>
      </c>
      <c r="P858" t="s">
        <v>74</v>
      </c>
      <c r="Q858" t="s">
        <v>74</v>
      </c>
      <c r="R858" t="s">
        <v>74</v>
      </c>
      <c r="S858" t="s">
        <v>74</v>
      </c>
      <c r="T858" t="s">
        <v>74</v>
      </c>
      <c r="U858" t="s">
        <v>12835</v>
      </c>
      <c r="V858" t="s">
        <v>12836</v>
      </c>
      <c r="W858" t="s">
        <v>12837</v>
      </c>
      <c r="X858" t="s">
        <v>12838</v>
      </c>
      <c r="Y858" t="s">
        <v>12839</v>
      </c>
      <c r="Z858" t="s">
        <v>12840</v>
      </c>
      <c r="AA858" t="s">
        <v>12841</v>
      </c>
      <c r="AB858" t="s">
        <v>12842</v>
      </c>
      <c r="AC858" t="s">
        <v>74</v>
      </c>
      <c r="AD858" t="s">
        <v>74</v>
      </c>
      <c r="AE858" t="s">
        <v>74</v>
      </c>
      <c r="AF858" t="s">
        <v>74</v>
      </c>
      <c r="AG858">
        <v>29</v>
      </c>
      <c r="AH858">
        <v>1048</v>
      </c>
      <c r="AI858">
        <v>1265</v>
      </c>
      <c r="AJ858">
        <v>8</v>
      </c>
      <c r="AK858">
        <v>337</v>
      </c>
      <c r="AL858" t="s">
        <v>1757</v>
      </c>
      <c r="AM858" t="s">
        <v>88</v>
      </c>
      <c r="AN858" t="s">
        <v>1758</v>
      </c>
      <c r="AO858" t="s">
        <v>1759</v>
      </c>
      <c r="AP858" t="s">
        <v>1760</v>
      </c>
      <c r="AQ858" t="s">
        <v>74</v>
      </c>
      <c r="AR858" t="s">
        <v>1761</v>
      </c>
      <c r="AS858" t="s">
        <v>1762</v>
      </c>
      <c r="AT858" t="s">
        <v>12843</v>
      </c>
      <c r="AU858">
        <v>2006</v>
      </c>
      <c r="AV858">
        <v>33</v>
      </c>
      <c r="AW858">
        <v>1</v>
      </c>
      <c r="AX858" t="s">
        <v>74</v>
      </c>
      <c r="AY858" t="s">
        <v>74</v>
      </c>
      <c r="AZ858" t="s">
        <v>74</v>
      </c>
      <c r="BA858" t="s">
        <v>74</v>
      </c>
      <c r="BB858" t="s">
        <v>74</v>
      </c>
      <c r="BC858" t="s">
        <v>74</v>
      </c>
      <c r="BD858" t="s">
        <v>12844</v>
      </c>
      <c r="BE858" t="s">
        <v>12845</v>
      </c>
      <c r="BF858" t="str">
        <f>HYPERLINK("http://dx.doi.org/10.1029/2005GL024826","http://dx.doi.org/10.1029/2005GL024826")</f>
        <v>http://dx.doi.org/10.1029/2005GL024826</v>
      </c>
      <c r="BG858" t="s">
        <v>74</v>
      </c>
      <c r="BH858" t="s">
        <v>74</v>
      </c>
      <c r="BI858">
        <v>4</v>
      </c>
      <c r="BJ858" t="s">
        <v>527</v>
      </c>
      <c r="BK858" t="s">
        <v>97</v>
      </c>
      <c r="BL858" t="s">
        <v>528</v>
      </c>
      <c r="BM858" t="s">
        <v>12846</v>
      </c>
      <c r="BN858" t="s">
        <v>74</v>
      </c>
      <c r="BO858" t="s">
        <v>460</v>
      </c>
      <c r="BP858" t="s">
        <v>74</v>
      </c>
      <c r="BQ858" t="s">
        <v>74</v>
      </c>
      <c r="BR858" t="s">
        <v>100</v>
      </c>
      <c r="BS858" t="s">
        <v>12847</v>
      </c>
      <c r="BT858" t="str">
        <f>HYPERLINK("https%3A%2F%2Fwww.webofscience.com%2Fwos%2Fwoscc%2Ffull-record%2FWOS:000234509300010","View Full Record in Web of Science")</f>
        <v>View Full Record in Web of Science</v>
      </c>
    </row>
    <row r="859" spans="1:72" x14ac:dyDescent="0.15">
      <c r="A859" t="s">
        <v>72</v>
      </c>
      <c r="B859" t="s">
        <v>12848</v>
      </c>
      <c r="C859" t="s">
        <v>74</v>
      </c>
      <c r="D859" t="s">
        <v>74</v>
      </c>
      <c r="E859" t="s">
        <v>74</v>
      </c>
      <c r="F859" t="s">
        <v>12848</v>
      </c>
      <c r="G859" t="s">
        <v>74</v>
      </c>
      <c r="H859" t="s">
        <v>74</v>
      </c>
      <c r="I859" t="s">
        <v>12849</v>
      </c>
      <c r="J859" t="s">
        <v>12850</v>
      </c>
      <c r="K859" t="s">
        <v>74</v>
      </c>
      <c r="L859" t="s">
        <v>74</v>
      </c>
      <c r="M859" t="s">
        <v>78</v>
      </c>
      <c r="N859" t="s">
        <v>3727</v>
      </c>
      <c r="O859" t="s">
        <v>74</v>
      </c>
      <c r="P859" t="s">
        <v>74</v>
      </c>
      <c r="Q859" t="s">
        <v>74</v>
      </c>
      <c r="R859" t="s">
        <v>74</v>
      </c>
      <c r="S859" t="s">
        <v>74</v>
      </c>
      <c r="T859" t="s">
        <v>74</v>
      </c>
      <c r="U859" t="s">
        <v>74</v>
      </c>
      <c r="V859" t="s">
        <v>74</v>
      </c>
      <c r="W859" t="s">
        <v>74</v>
      </c>
      <c r="X859" t="s">
        <v>74</v>
      </c>
      <c r="Y859" t="s">
        <v>74</v>
      </c>
      <c r="Z859" t="s">
        <v>74</v>
      </c>
      <c r="AA859" t="s">
        <v>74</v>
      </c>
      <c r="AB859" t="s">
        <v>74</v>
      </c>
      <c r="AC859" t="s">
        <v>74</v>
      </c>
      <c r="AD859" t="s">
        <v>74</v>
      </c>
      <c r="AE859" t="s">
        <v>74</v>
      </c>
      <c r="AF859" t="s">
        <v>74</v>
      </c>
      <c r="AG859">
        <v>1</v>
      </c>
      <c r="AH859">
        <v>0</v>
      </c>
      <c r="AI859">
        <v>0</v>
      </c>
      <c r="AJ859">
        <v>0</v>
      </c>
      <c r="AK859">
        <v>0</v>
      </c>
      <c r="AL859" t="s">
        <v>12851</v>
      </c>
      <c r="AM859" t="s">
        <v>12852</v>
      </c>
      <c r="AN859" t="s">
        <v>12853</v>
      </c>
      <c r="AO859" t="s">
        <v>12854</v>
      </c>
      <c r="AP859" t="s">
        <v>12855</v>
      </c>
      <c r="AQ859" t="s">
        <v>74</v>
      </c>
      <c r="AR859" t="s">
        <v>12856</v>
      </c>
      <c r="AS859" t="s">
        <v>12857</v>
      </c>
      <c r="AT859" t="s">
        <v>12843</v>
      </c>
      <c r="AU859">
        <v>2006</v>
      </c>
      <c r="AV859" t="s">
        <v>74</v>
      </c>
      <c r="AW859">
        <v>5362</v>
      </c>
      <c r="AX859" t="s">
        <v>74</v>
      </c>
      <c r="AY859" t="s">
        <v>74</v>
      </c>
      <c r="AZ859" t="s">
        <v>74</v>
      </c>
      <c r="BA859" t="s">
        <v>74</v>
      </c>
      <c r="BB859">
        <v>4</v>
      </c>
      <c r="BC859">
        <v>5</v>
      </c>
      <c r="BD859" t="s">
        <v>74</v>
      </c>
      <c r="BE859" t="s">
        <v>74</v>
      </c>
      <c r="BF859" t="s">
        <v>74</v>
      </c>
      <c r="BG859" t="s">
        <v>74</v>
      </c>
      <c r="BH859" t="s">
        <v>74</v>
      </c>
      <c r="BI859">
        <v>2</v>
      </c>
      <c r="BJ859" t="s">
        <v>12858</v>
      </c>
      <c r="BK859" t="s">
        <v>2759</v>
      </c>
      <c r="BL859" t="s">
        <v>12859</v>
      </c>
      <c r="BM859" t="s">
        <v>12860</v>
      </c>
      <c r="BN859" t="s">
        <v>74</v>
      </c>
      <c r="BO859" t="s">
        <v>74</v>
      </c>
      <c r="BP859" t="s">
        <v>74</v>
      </c>
      <c r="BQ859" t="s">
        <v>74</v>
      </c>
      <c r="BR859" t="s">
        <v>100</v>
      </c>
      <c r="BS859" t="s">
        <v>12861</v>
      </c>
      <c r="BT859" t="str">
        <f>HYPERLINK("https%3A%2F%2Fwww.webofscience.com%2Fwos%2Fwoscc%2Ffull-record%2FWOS:000234547100002","View Full Record in Web of Science")</f>
        <v>View Full Record in Web of Science</v>
      </c>
    </row>
    <row r="860" spans="1:72" x14ac:dyDescent="0.15">
      <c r="A860" t="s">
        <v>72</v>
      </c>
      <c r="B860" t="s">
        <v>12848</v>
      </c>
      <c r="C860" t="s">
        <v>74</v>
      </c>
      <c r="D860" t="s">
        <v>74</v>
      </c>
      <c r="E860" t="s">
        <v>74</v>
      </c>
      <c r="F860" t="s">
        <v>12848</v>
      </c>
      <c r="G860" t="s">
        <v>74</v>
      </c>
      <c r="H860" t="s">
        <v>74</v>
      </c>
      <c r="I860" t="s">
        <v>12862</v>
      </c>
      <c r="J860" t="s">
        <v>12850</v>
      </c>
      <c r="K860" t="s">
        <v>74</v>
      </c>
      <c r="L860" t="s">
        <v>74</v>
      </c>
      <c r="M860" t="s">
        <v>78</v>
      </c>
      <c r="N860" t="s">
        <v>3727</v>
      </c>
      <c r="O860" t="s">
        <v>74</v>
      </c>
      <c r="P860" t="s">
        <v>74</v>
      </c>
      <c r="Q860" t="s">
        <v>74</v>
      </c>
      <c r="R860" t="s">
        <v>74</v>
      </c>
      <c r="S860" t="s">
        <v>74</v>
      </c>
      <c r="T860" t="s">
        <v>74</v>
      </c>
      <c r="U860" t="s">
        <v>74</v>
      </c>
      <c r="V860" t="s">
        <v>74</v>
      </c>
      <c r="W860" t="s">
        <v>74</v>
      </c>
      <c r="X860" t="s">
        <v>74</v>
      </c>
      <c r="Y860" t="s">
        <v>74</v>
      </c>
      <c r="Z860" t="s">
        <v>74</v>
      </c>
      <c r="AA860" t="s">
        <v>74</v>
      </c>
      <c r="AB860" t="s">
        <v>74</v>
      </c>
      <c r="AC860" t="s">
        <v>74</v>
      </c>
      <c r="AD860" t="s">
        <v>74</v>
      </c>
      <c r="AE860" t="s">
        <v>74</v>
      </c>
      <c r="AF860" t="s">
        <v>74</v>
      </c>
      <c r="AG860">
        <v>1</v>
      </c>
      <c r="AH860">
        <v>0</v>
      </c>
      <c r="AI860">
        <v>0</v>
      </c>
      <c r="AJ860">
        <v>0</v>
      </c>
      <c r="AK860">
        <v>0</v>
      </c>
      <c r="AL860" t="s">
        <v>12851</v>
      </c>
      <c r="AM860" t="s">
        <v>12852</v>
      </c>
      <c r="AN860" t="s">
        <v>12853</v>
      </c>
      <c r="AO860" t="s">
        <v>12854</v>
      </c>
      <c r="AP860" t="s">
        <v>12855</v>
      </c>
      <c r="AQ860" t="s">
        <v>74</v>
      </c>
      <c r="AR860" t="s">
        <v>12856</v>
      </c>
      <c r="AS860" t="s">
        <v>12857</v>
      </c>
      <c r="AT860" t="s">
        <v>12843</v>
      </c>
      <c r="AU860">
        <v>2006</v>
      </c>
      <c r="AV860" t="s">
        <v>74</v>
      </c>
      <c r="AW860">
        <v>5362</v>
      </c>
      <c r="AX860" t="s">
        <v>74</v>
      </c>
      <c r="AY860" t="s">
        <v>74</v>
      </c>
      <c r="AZ860" t="s">
        <v>74</v>
      </c>
      <c r="BA860" t="s">
        <v>74</v>
      </c>
      <c r="BB860">
        <v>4</v>
      </c>
      <c r="BC860">
        <v>5</v>
      </c>
      <c r="BD860" t="s">
        <v>74</v>
      </c>
      <c r="BE860" t="s">
        <v>74</v>
      </c>
      <c r="BF860" t="s">
        <v>74</v>
      </c>
      <c r="BG860" t="s">
        <v>74</v>
      </c>
      <c r="BH860" t="s">
        <v>74</v>
      </c>
      <c r="BI860">
        <v>2</v>
      </c>
      <c r="BJ860" t="s">
        <v>12858</v>
      </c>
      <c r="BK860" t="s">
        <v>2759</v>
      </c>
      <c r="BL860" t="s">
        <v>12859</v>
      </c>
      <c r="BM860" t="s">
        <v>12860</v>
      </c>
      <c r="BN860" t="s">
        <v>74</v>
      </c>
      <c r="BO860" t="s">
        <v>74</v>
      </c>
      <c r="BP860" t="s">
        <v>74</v>
      </c>
      <c r="BQ860" t="s">
        <v>74</v>
      </c>
      <c r="BR860" t="s">
        <v>100</v>
      </c>
      <c r="BS860" t="s">
        <v>12863</v>
      </c>
      <c r="BT860" t="str">
        <f>HYPERLINK("https%3A%2F%2Fwww.webofscience.com%2Fwos%2Fwoscc%2Ffull-record%2FWOS:000234547100004","View Full Record in Web of Science")</f>
        <v>View Full Record in Web of Science</v>
      </c>
    </row>
    <row r="861" spans="1:72" x14ac:dyDescent="0.15">
      <c r="A861" t="s">
        <v>72</v>
      </c>
      <c r="B861" t="s">
        <v>12848</v>
      </c>
      <c r="C861" t="s">
        <v>74</v>
      </c>
      <c r="D861" t="s">
        <v>74</v>
      </c>
      <c r="E861" t="s">
        <v>74</v>
      </c>
      <c r="F861" t="s">
        <v>12848</v>
      </c>
      <c r="G861" t="s">
        <v>74</v>
      </c>
      <c r="H861" t="s">
        <v>74</v>
      </c>
      <c r="I861" t="s">
        <v>12864</v>
      </c>
      <c r="J861" t="s">
        <v>12850</v>
      </c>
      <c r="K861" t="s">
        <v>74</v>
      </c>
      <c r="L861" t="s">
        <v>74</v>
      </c>
      <c r="M861" t="s">
        <v>78</v>
      </c>
      <c r="N861" t="s">
        <v>3727</v>
      </c>
      <c r="O861" t="s">
        <v>74</v>
      </c>
      <c r="P861" t="s">
        <v>74</v>
      </c>
      <c r="Q861" t="s">
        <v>74</v>
      </c>
      <c r="R861" t="s">
        <v>74</v>
      </c>
      <c r="S861" t="s">
        <v>74</v>
      </c>
      <c r="T861" t="s">
        <v>74</v>
      </c>
      <c r="U861" t="s">
        <v>74</v>
      </c>
      <c r="V861" t="s">
        <v>74</v>
      </c>
      <c r="W861" t="s">
        <v>74</v>
      </c>
      <c r="X861" t="s">
        <v>74</v>
      </c>
      <c r="Y861" t="s">
        <v>74</v>
      </c>
      <c r="Z861" t="s">
        <v>74</v>
      </c>
      <c r="AA861" t="s">
        <v>74</v>
      </c>
      <c r="AB861" t="s">
        <v>74</v>
      </c>
      <c r="AC861" t="s">
        <v>74</v>
      </c>
      <c r="AD861" t="s">
        <v>74</v>
      </c>
      <c r="AE861" t="s">
        <v>74</v>
      </c>
      <c r="AF861" t="s">
        <v>74</v>
      </c>
      <c r="AG861">
        <v>1</v>
      </c>
      <c r="AH861">
        <v>0</v>
      </c>
      <c r="AI861">
        <v>0</v>
      </c>
      <c r="AJ861">
        <v>0</v>
      </c>
      <c r="AK861">
        <v>0</v>
      </c>
      <c r="AL861" t="s">
        <v>12851</v>
      </c>
      <c r="AM861" t="s">
        <v>12852</v>
      </c>
      <c r="AN861" t="s">
        <v>12853</v>
      </c>
      <c r="AO861" t="s">
        <v>12854</v>
      </c>
      <c r="AP861" t="s">
        <v>12855</v>
      </c>
      <c r="AQ861" t="s">
        <v>74</v>
      </c>
      <c r="AR861" t="s">
        <v>12856</v>
      </c>
      <c r="AS861" t="s">
        <v>12857</v>
      </c>
      <c r="AT861" t="s">
        <v>12843</v>
      </c>
      <c r="AU861">
        <v>2006</v>
      </c>
      <c r="AV861" t="s">
        <v>74</v>
      </c>
      <c r="AW861">
        <v>5362</v>
      </c>
      <c r="AX861" t="s">
        <v>74</v>
      </c>
      <c r="AY861" t="s">
        <v>74</v>
      </c>
      <c r="AZ861" t="s">
        <v>74</v>
      </c>
      <c r="BA861" t="s">
        <v>74</v>
      </c>
      <c r="BB861">
        <v>4</v>
      </c>
      <c r="BC861">
        <v>5</v>
      </c>
      <c r="BD861" t="s">
        <v>74</v>
      </c>
      <c r="BE861" t="s">
        <v>74</v>
      </c>
      <c r="BF861" t="s">
        <v>74</v>
      </c>
      <c r="BG861" t="s">
        <v>74</v>
      </c>
      <c r="BH861" t="s">
        <v>74</v>
      </c>
      <c r="BI861">
        <v>2</v>
      </c>
      <c r="BJ861" t="s">
        <v>12858</v>
      </c>
      <c r="BK861" t="s">
        <v>2759</v>
      </c>
      <c r="BL861" t="s">
        <v>12859</v>
      </c>
      <c r="BM861" t="s">
        <v>12860</v>
      </c>
      <c r="BN861" t="s">
        <v>74</v>
      </c>
      <c r="BO861" t="s">
        <v>74</v>
      </c>
      <c r="BP861" t="s">
        <v>74</v>
      </c>
      <c r="BQ861" t="s">
        <v>74</v>
      </c>
      <c r="BR861" t="s">
        <v>100</v>
      </c>
      <c r="BS861" t="s">
        <v>12865</v>
      </c>
      <c r="BT861" t="str">
        <f>HYPERLINK("https%3A%2F%2Fwww.webofscience.com%2Fwos%2Fwoscc%2Ffull-record%2FWOS:000234547100005","View Full Record in Web of Science")</f>
        <v>View Full Record in Web of Science</v>
      </c>
    </row>
    <row r="862" spans="1:72" x14ac:dyDescent="0.15">
      <c r="A862" t="s">
        <v>12866</v>
      </c>
      <c r="B862" t="s">
        <v>12867</v>
      </c>
      <c r="C862" t="s">
        <v>74</v>
      </c>
      <c r="D862" t="s">
        <v>74</v>
      </c>
      <c r="E862" t="s">
        <v>12868</v>
      </c>
      <c r="F862" t="s">
        <v>12869</v>
      </c>
      <c r="G862" t="s">
        <v>74</v>
      </c>
      <c r="H862" t="s">
        <v>74</v>
      </c>
      <c r="I862" t="s">
        <v>12870</v>
      </c>
      <c r="J862" t="s">
        <v>12871</v>
      </c>
      <c r="K862" t="s">
        <v>12872</v>
      </c>
      <c r="L862" t="s">
        <v>74</v>
      </c>
      <c r="M862" t="s">
        <v>78</v>
      </c>
      <c r="N862" t="s">
        <v>12873</v>
      </c>
      <c r="O862" t="s">
        <v>12874</v>
      </c>
      <c r="P862" t="s">
        <v>12875</v>
      </c>
      <c r="Q862" t="s">
        <v>12876</v>
      </c>
      <c r="R862" t="s">
        <v>74</v>
      </c>
      <c r="S862" t="s">
        <v>74</v>
      </c>
      <c r="T862" t="s">
        <v>12877</v>
      </c>
      <c r="U862" t="s">
        <v>74</v>
      </c>
      <c r="V862" t="s">
        <v>12878</v>
      </c>
      <c r="W862" t="s">
        <v>12879</v>
      </c>
      <c r="X862" t="s">
        <v>74</v>
      </c>
      <c r="Y862" t="s">
        <v>12880</v>
      </c>
      <c r="Z862" t="s">
        <v>74</v>
      </c>
      <c r="AA862" t="s">
        <v>74</v>
      </c>
      <c r="AB862" t="s">
        <v>74</v>
      </c>
      <c r="AC862" t="s">
        <v>74</v>
      </c>
      <c r="AD862" t="s">
        <v>74</v>
      </c>
      <c r="AE862" t="s">
        <v>74</v>
      </c>
      <c r="AF862" t="s">
        <v>74</v>
      </c>
      <c r="AG862">
        <v>7</v>
      </c>
      <c r="AH862">
        <v>0</v>
      </c>
      <c r="AI862">
        <v>0</v>
      </c>
      <c r="AJ862">
        <v>0</v>
      </c>
      <c r="AK862">
        <v>1</v>
      </c>
      <c r="AL862" t="s">
        <v>12868</v>
      </c>
      <c r="AM862" t="s">
        <v>476</v>
      </c>
      <c r="AN862" t="s">
        <v>12881</v>
      </c>
      <c r="AO862" t="s">
        <v>74</v>
      </c>
      <c r="AP862" t="s">
        <v>74</v>
      </c>
      <c r="AQ862" t="s">
        <v>12882</v>
      </c>
      <c r="AR862" t="s">
        <v>12883</v>
      </c>
      <c r="AS862" t="s">
        <v>74</v>
      </c>
      <c r="AT862" t="s">
        <v>74</v>
      </c>
      <c r="AU862">
        <v>2006</v>
      </c>
      <c r="AV862" t="s">
        <v>74</v>
      </c>
      <c r="AW862" t="s">
        <v>74</v>
      </c>
      <c r="AX862" t="s">
        <v>74</v>
      </c>
      <c r="AY862" t="s">
        <v>74</v>
      </c>
      <c r="AZ862" t="s">
        <v>74</v>
      </c>
      <c r="BA862" t="s">
        <v>74</v>
      </c>
      <c r="BB862">
        <v>299</v>
      </c>
      <c r="BC862" t="s">
        <v>7504</v>
      </c>
      <c r="BD862" t="s">
        <v>74</v>
      </c>
      <c r="BE862" t="s">
        <v>12884</v>
      </c>
      <c r="BF862" t="str">
        <f>HYPERLINK("http://dx.doi.org/10.1109/EURAD.2006.280334","http://dx.doi.org/10.1109/EURAD.2006.280334")</f>
        <v>http://dx.doi.org/10.1109/EURAD.2006.280334</v>
      </c>
      <c r="BG862" t="s">
        <v>74</v>
      </c>
      <c r="BH862" t="s">
        <v>74</v>
      </c>
      <c r="BI862">
        <v>2</v>
      </c>
      <c r="BJ862" t="s">
        <v>12885</v>
      </c>
      <c r="BK862" t="s">
        <v>12886</v>
      </c>
      <c r="BL862" t="s">
        <v>12887</v>
      </c>
      <c r="BM862" t="s">
        <v>12888</v>
      </c>
      <c r="BN862" t="s">
        <v>74</v>
      </c>
      <c r="BO862" t="s">
        <v>74</v>
      </c>
      <c r="BP862" t="s">
        <v>74</v>
      </c>
      <c r="BQ862" t="s">
        <v>74</v>
      </c>
      <c r="BR862" t="s">
        <v>100</v>
      </c>
      <c r="BS862" t="s">
        <v>12889</v>
      </c>
      <c r="BT862" t="str">
        <f>HYPERLINK("https%3A%2F%2Fwww.webofscience.com%2Fwos%2Fwoscc%2Ffull-record%2FWOS:000246342300077","View Full Record in Web of Science")</f>
        <v>View Full Record in Web of Science</v>
      </c>
    </row>
    <row r="863" spans="1:72" x14ac:dyDescent="0.15">
      <c r="A863" t="s">
        <v>12866</v>
      </c>
      <c r="B863" t="s">
        <v>12890</v>
      </c>
      <c r="C863" t="s">
        <v>74</v>
      </c>
      <c r="D863" t="s">
        <v>74</v>
      </c>
      <c r="E863" t="s">
        <v>12868</v>
      </c>
      <c r="F863" t="s">
        <v>12891</v>
      </c>
      <c r="G863" t="s">
        <v>74</v>
      </c>
      <c r="H863" t="s">
        <v>74</v>
      </c>
      <c r="I863" t="s">
        <v>12892</v>
      </c>
      <c r="J863" t="s">
        <v>12893</v>
      </c>
      <c r="K863" t="s">
        <v>12894</v>
      </c>
      <c r="L863" t="s">
        <v>74</v>
      </c>
      <c r="M863" t="s">
        <v>78</v>
      </c>
      <c r="N863" t="s">
        <v>12873</v>
      </c>
      <c r="O863" t="s">
        <v>12895</v>
      </c>
      <c r="P863" t="s">
        <v>12896</v>
      </c>
      <c r="Q863" t="s">
        <v>12897</v>
      </c>
      <c r="R863" t="s">
        <v>74</v>
      </c>
      <c r="S863" t="s">
        <v>74</v>
      </c>
      <c r="T863" t="s">
        <v>74</v>
      </c>
      <c r="U863" t="s">
        <v>12898</v>
      </c>
      <c r="V863" t="s">
        <v>12899</v>
      </c>
      <c r="W863" t="s">
        <v>12900</v>
      </c>
      <c r="X863" t="s">
        <v>12901</v>
      </c>
      <c r="Y863" t="s">
        <v>12902</v>
      </c>
      <c r="Z863" t="s">
        <v>74</v>
      </c>
      <c r="AA863" t="s">
        <v>12903</v>
      </c>
      <c r="AB863" t="s">
        <v>12904</v>
      </c>
      <c r="AC863" t="s">
        <v>74</v>
      </c>
      <c r="AD863" t="s">
        <v>74</v>
      </c>
      <c r="AE863" t="s">
        <v>74</v>
      </c>
      <c r="AF863" t="s">
        <v>74</v>
      </c>
      <c r="AG863">
        <v>11</v>
      </c>
      <c r="AH863">
        <v>0</v>
      </c>
      <c r="AI863">
        <v>0</v>
      </c>
      <c r="AJ863">
        <v>0</v>
      </c>
      <c r="AK863">
        <v>3</v>
      </c>
      <c r="AL863" t="s">
        <v>12868</v>
      </c>
      <c r="AM863" t="s">
        <v>476</v>
      </c>
      <c r="AN863" t="s">
        <v>12881</v>
      </c>
      <c r="AO863" t="s">
        <v>12905</v>
      </c>
      <c r="AP863" t="s">
        <v>74</v>
      </c>
      <c r="AQ863" t="s">
        <v>12906</v>
      </c>
      <c r="AR863" t="s">
        <v>12907</v>
      </c>
      <c r="AS863" t="s">
        <v>74</v>
      </c>
      <c r="AT863" t="s">
        <v>74</v>
      </c>
      <c r="AU863">
        <v>2006</v>
      </c>
      <c r="AV863" t="s">
        <v>74</v>
      </c>
      <c r="AW863" t="s">
        <v>74</v>
      </c>
      <c r="AX863" t="s">
        <v>74</v>
      </c>
      <c r="AY863" t="s">
        <v>74</v>
      </c>
      <c r="AZ863" t="s">
        <v>74</v>
      </c>
      <c r="BA863" t="s">
        <v>74</v>
      </c>
      <c r="BB863">
        <v>5607</v>
      </c>
      <c r="BC863">
        <v>5610</v>
      </c>
      <c r="BD863" t="s">
        <v>74</v>
      </c>
      <c r="BE863" t="s">
        <v>74</v>
      </c>
      <c r="BF863" t="s">
        <v>74</v>
      </c>
      <c r="BG863" t="s">
        <v>74</v>
      </c>
      <c r="BH863" t="s">
        <v>74</v>
      </c>
      <c r="BI863">
        <v>4</v>
      </c>
      <c r="BJ863" t="s">
        <v>12908</v>
      </c>
      <c r="BK863" t="s">
        <v>12886</v>
      </c>
      <c r="BL863" t="s">
        <v>12909</v>
      </c>
      <c r="BM863" t="s">
        <v>12910</v>
      </c>
      <c r="BN863" t="s">
        <v>74</v>
      </c>
      <c r="BO863" t="s">
        <v>74</v>
      </c>
      <c r="BP863" t="s">
        <v>74</v>
      </c>
      <c r="BQ863" t="s">
        <v>74</v>
      </c>
      <c r="BR863" t="s">
        <v>100</v>
      </c>
      <c r="BS863" t="s">
        <v>12911</v>
      </c>
      <c r="BT863" t="str">
        <f>HYPERLINK("https%3A%2F%2Fwww.webofscience.com%2Fwos%2Fwoscc%2Ffull-record%2FWOS:000245559906105","View Full Record in Web of Science")</f>
        <v>View Full Record in Web of Science</v>
      </c>
    </row>
    <row r="864" spans="1:72" x14ac:dyDescent="0.15">
      <c r="A864" t="s">
        <v>12866</v>
      </c>
      <c r="B864" t="s">
        <v>12912</v>
      </c>
      <c r="C864" t="s">
        <v>74</v>
      </c>
      <c r="D864" t="s">
        <v>74</v>
      </c>
      <c r="E864" t="s">
        <v>12868</v>
      </c>
      <c r="F864" t="s">
        <v>12913</v>
      </c>
      <c r="G864" t="s">
        <v>74</v>
      </c>
      <c r="H864" t="s">
        <v>74</v>
      </c>
      <c r="I864" t="s">
        <v>12914</v>
      </c>
      <c r="J864" t="s">
        <v>12915</v>
      </c>
      <c r="K864" t="s">
        <v>12916</v>
      </c>
      <c r="L864" t="s">
        <v>74</v>
      </c>
      <c r="M864" t="s">
        <v>78</v>
      </c>
      <c r="N864" t="s">
        <v>12873</v>
      </c>
      <c r="O864" t="s">
        <v>12917</v>
      </c>
      <c r="P864" t="s">
        <v>12918</v>
      </c>
      <c r="Q864" t="s">
        <v>1646</v>
      </c>
      <c r="R864" t="s">
        <v>74</v>
      </c>
      <c r="S864" t="s">
        <v>74</v>
      </c>
      <c r="T864" t="s">
        <v>12919</v>
      </c>
      <c r="U864" t="s">
        <v>74</v>
      </c>
      <c r="V864" t="s">
        <v>12920</v>
      </c>
      <c r="W864" t="s">
        <v>12921</v>
      </c>
      <c r="X864" t="s">
        <v>9440</v>
      </c>
      <c r="Y864" t="s">
        <v>12922</v>
      </c>
      <c r="Z864" t="s">
        <v>12923</v>
      </c>
      <c r="AA864" t="s">
        <v>74</v>
      </c>
      <c r="AB864" t="s">
        <v>9443</v>
      </c>
      <c r="AC864" t="s">
        <v>12924</v>
      </c>
      <c r="AD864" t="s">
        <v>12925</v>
      </c>
      <c r="AE864" t="s">
        <v>12926</v>
      </c>
      <c r="AF864" t="s">
        <v>74</v>
      </c>
      <c r="AG864">
        <v>10</v>
      </c>
      <c r="AH864">
        <v>18</v>
      </c>
      <c r="AI864">
        <v>21</v>
      </c>
      <c r="AJ864">
        <v>1</v>
      </c>
      <c r="AK864">
        <v>6</v>
      </c>
      <c r="AL864" t="s">
        <v>12868</v>
      </c>
      <c r="AM864" t="s">
        <v>476</v>
      </c>
      <c r="AN864" t="s">
        <v>12881</v>
      </c>
      <c r="AO864" t="s">
        <v>12927</v>
      </c>
      <c r="AP864" t="s">
        <v>12928</v>
      </c>
      <c r="AQ864" t="s">
        <v>12929</v>
      </c>
      <c r="AR864" t="s">
        <v>12930</v>
      </c>
      <c r="AS864" t="s">
        <v>74</v>
      </c>
      <c r="AT864" t="s">
        <v>74</v>
      </c>
      <c r="AU864">
        <v>2006</v>
      </c>
      <c r="AV864" t="s">
        <v>74</v>
      </c>
      <c r="AW864" t="s">
        <v>74</v>
      </c>
      <c r="AX864" t="s">
        <v>74</v>
      </c>
      <c r="AY864" t="s">
        <v>74</v>
      </c>
      <c r="AZ864" t="s">
        <v>74</v>
      </c>
      <c r="BA864" t="s">
        <v>74</v>
      </c>
      <c r="BB864">
        <v>4252</v>
      </c>
      <c r="BC864" t="s">
        <v>7504</v>
      </c>
      <c r="BD864" t="s">
        <v>74</v>
      </c>
      <c r="BE864" t="s">
        <v>12931</v>
      </c>
      <c r="BF864" t="str">
        <f>HYPERLINK("http://dx.doi.org/10.1109/ROBOT.2006.1642356","http://dx.doi.org/10.1109/ROBOT.2006.1642356")</f>
        <v>http://dx.doi.org/10.1109/ROBOT.2006.1642356</v>
      </c>
      <c r="BG864" t="s">
        <v>74</v>
      </c>
      <c r="BH864" t="s">
        <v>74</v>
      </c>
      <c r="BI864">
        <v>2</v>
      </c>
      <c r="BJ864" t="s">
        <v>12932</v>
      </c>
      <c r="BK864" t="s">
        <v>12886</v>
      </c>
      <c r="BL864" t="s">
        <v>12933</v>
      </c>
      <c r="BM864" t="s">
        <v>12934</v>
      </c>
      <c r="BN864" t="s">
        <v>74</v>
      </c>
      <c r="BO864" t="s">
        <v>74</v>
      </c>
      <c r="BP864" t="s">
        <v>74</v>
      </c>
      <c r="BQ864" t="s">
        <v>74</v>
      </c>
      <c r="BR864" t="s">
        <v>100</v>
      </c>
      <c r="BS864" t="s">
        <v>12935</v>
      </c>
      <c r="BT864" t="str">
        <f>HYPERLINK("https%3A%2F%2Fwww.webofscience.com%2Fwos%2Fwoscc%2Ffull-record%2FWOS:000240886909029","View Full Record in Web of Science")</f>
        <v>View Full Record in Web of Science</v>
      </c>
    </row>
    <row r="865" spans="1:72" x14ac:dyDescent="0.15">
      <c r="A865" t="s">
        <v>12866</v>
      </c>
      <c r="B865" t="s">
        <v>12936</v>
      </c>
      <c r="C865" t="s">
        <v>74</v>
      </c>
      <c r="D865" t="s">
        <v>74</v>
      </c>
      <c r="E865" t="s">
        <v>12868</v>
      </c>
      <c r="F865" t="s">
        <v>12937</v>
      </c>
      <c r="G865" t="s">
        <v>74</v>
      </c>
      <c r="H865" t="s">
        <v>74</v>
      </c>
      <c r="I865" t="s">
        <v>12938</v>
      </c>
      <c r="J865" t="s">
        <v>12939</v>
      </c>
      <c r="K865" t="s">
        <v>12940</v>
      </c>
      <c r="L865" t="s">
        <v>74</v>
      </c>
      <c r="M865" t="s">
        <v>78</v>
      </c>
      <c r="N865" t="s">
        <v>12873</v>
      </c>
      <c r="O865" t="s">
        <v>12941</v>
      </c>
      <c r="P865" t="s">
        <v>12942</v>
      </c>
      <c r="Q865" t="s">
        <v>12943</v>
      </c>
      <c r="R865" t="s">
        <v>74</v>
      </c>
      <c r="S865" t="s">
        <v>74</v>
      </c>
      <c r="T865" t="s">
        <v>74</v>
      </c>
      <c r="U865" t="s">
        <v>74</v>
      </c>
      <c r="V865" t="s">
        <v>12944</v>
      </c>
      <c r="W865" t="s">
        <v>12945</v>
      </c>
      <c r="X865" t="s">
        <v>12946</v>
      </c>
      <c r="Y865" t="s">
        <v>12947</v>
      </c>
      <c r="Z865" t="s">
        <v>12948</v>
      </c>
      <c r="AA865" t="s">
        <v>12949</v>
      </c>
      <c r="AB865" t="s">
        <v>12950</v>
      </c>
      <c r="AC865" t="s">
        <v>74</v>
      </c>
      <c r="AD865" t="s">
        <v>74</v>
      </c>
      <c r="AE865" t="s">
        <v>74</v>
      </c>
      <c r="AF865" t="s">
        <v>74</v>
      </c>
      <c r="AG865">
        <v>5</v>
      </c>
      <c r="AH865">
        <v>2</v>
      </c>
      <c r="AI865">
        <v>2</v>
      </c>
      <c r="AJ865">
        <v>0</v>
      </c>
      <c r="AK865">
        <v>1</v>
      </c>
      <c r="AL865" t="s">
        <v>12868</v>
      </c>
      <c r="AM865" t="s">
        <v>476</v>
      </c>
      <c r="AN865" t="s">
        <v>12881</v>
      </c>
      <c r="AO865" t="s">
        <v>12951</v>
      </c>
      <c r="AP865" t="s">
        <v>74</v>
      </c>
      <c r="AQ865" t="s">
        <v>12952</v>
      </c>
      <c r="AR865" t="s">
        <v>12953</v>
      </c>
      <c r="AS865" t="s">
        <v>74</v>
      </c>
      <c r="AT865" t="s">
        <v>74</v>
      </c>
      <c r="AU865">
        <v>2006</v>
      </c>
      <c r="AV865" t="s">
        <v>74</v>
      </c>
      <c r="AW865" t="s">
        <v>74</v>
      </c>
      <c r="AX865" t="s">
        <v>74</v>
      </c>
      <c r="AY865" t="s">
        <v>74</v>
      </c>
      <c r="AZ865" t="s">
        <v>74</v>
      </c>
      <c r="BA865" t="s">
        <v>74</v>
      </c>
      <c r="BB865">
        <v>714</v>
      </c>
      <c r="BC865">
        <v>717</v>
      </c>
      <c r="BD865" t="s">
        <v>74</v>
      </c>
      <c r="BE865" t="s">
        <v>12954</v>
      </c>
      <c r="BF865" t="str">
        <f>HYPERLINK("http://dx.doi.org/10.1109/IGARSS.2006.187","http://dx.doi.org/10.1109/IGARSS.2006.187")</f>
        <v>http://dx.doi.org/10.1109/IGARSS.2006.187</v>
      </c>
      <c r="BG865" t="s">
        <v>74</v>
      </c>
      <c r="BH865" t="s">
        <v>74</v>
      </c>
      <c r="BI865">
        <v>4</v>
      </c>
      <c r="BJ865" t="s">
        <v>12955</v>
      </c>
      <c r="BK865" t="s">
        <v>12886</v>
      </c>
      <c r="BL865" t="s">
        <v>12956</v>
      </c>
      <c r="BM865" t="s">
        <v>12957</v>
      </c>
      <c r="BN865" t="s">
        <v>74</v>
      </c>
      <c r="BO865" t="s">
        <v>74</v>
      </c>
      <c r="BP865" t="s">
        <v>74</v>
      </c>
      <c r="BQ865" t="s">
        <v>74</v>
      </c>
      <c r="BR865" t="s">
        <v>100</v>
      </c>
      <c r="BS865" t="s">
        <v>12958</v>
      </c>
      <c r="BT865" t="str">
        <f>HYPERLINK("https%3A%2F%2Fwww.webofscience.com%2Fwos%2Fwoscc%2Ffull-record%2FWOS:000260989400183","View Full Record in Web of Science")</f>
        <v>View Full Record in Web of Science</v>
      </c>
    </row>
    <row r="866" spans="1:72" x14ac:dyDescent="0.15">
      <c r="A866" t="s">
        <v>12866</v>
      </c>
      <c r="B866" t="s">
        <v>12959</v>
      </c>
      <c r="C866" t="s">
        <v>74</v>
      </c>
      <c r="D866" t="s">
        <v>74</v>
      </c>
      <c r="E866" t="s">
        <v>12868</v>
      </c>
      <c r="F866" t="s">
        <v>12960</v>
      </c>
      <c r="G866" t="s">
        <v>74</v>
      </c>
      <c r="H866" t="s">
        <v>74</v>
      </c>
      <c r="I866" t="s">
        <v>12961</v>
      </c>
      <c r="J866" t="s">
        <v>12939</v>
      </c>
      <c r="K866" t="s">
        <v>12940</v>
      </c>
      <c r="L866" t="s">
        <v>74</v>
      </c>
      <c r="M866" t="s">
        <v>78</v>
      </c>
      <c r="N866" t="s">
        <v>12873</v>
      </c>
      <c r="O866" t="s">
        <v>12941</v>
      </c>
      <c r="P866" t="s">
        <v>12942</v>
      </c>
      <c r="Q866" t="s">
        <v>12943</v>
      </c>
      <c r="R866" t="s">
        <v>74</v>
      </c>
      <c r="S866" t="s">
        <v>74</v>
      </c>
      <c r="T866" t="s">
        <v>74</v>
      </c>
      <c r="U866" t="s">
        <v>12962</v>
      </c>
      <c r="V866" t="s">
        <v>12963</v>
      </c>
      <c r="W866" t="s">
        <v>12964</v>
      </c>
      <c r="X866" t="s">
        <v>4630</v>
      </c>
      <c r="Y866" t="s">
        <v>12965</v>
      </c>
      <c r="Z866" t="s">
        <v>12966</v>
      </c>
      <c r="AA866" t="s">
        <v>12967</v>
      </c>
      <c r="AB866" t="s">
        <v>12968</v>
      </c>
      <c r="AC866" t="s">
        <v>74</v>
      </c>
      <c r="AD866" t="s">
        <v>74</v>
      </c>
      <c r="AE866" t="s">
        <v>74</v>
      </c>
      <c r="AF866" t="s">
        <v>74</v>
      </c>
      <c r="AG866">
        <v>13</v>
      </c>
      <c r="AH866">
        <v>1</v>
      </c>
      <c r="AI866">
        <v>2</v>
      </c>
      <c r="AJ866">
        <v>0</v>
      </c>
      <c r="AK866">
        <v>2</v>
      </c>
      <c r="AL866" t="s">
        <v>12868</v>
      </c>
      <c r="AM866" t="s">
        <v>476</v>
      </c>
      <c r="AN866" t="s">
        <v>12881</v>
      </c>
      <c r="AO866" t="s">
        <v>12951</v>
      </c>
      <c r="AP866" t="s">
        <v>74</v>
      </c>
      <c r="AQ866" t="s">
        <v>12952</v>
      </c>
      <c r="AR866" t="s">
        <v>12953</v>
      </c>
      <c r="AS866" t="s">
        <v>74</v>
      </c>
      <c r="AT866" t="s">
        <v>74</v>
      </c>
      <c r="AU866">
        <v>2006</v>
      </c>
      <c r="AV866" t="s">
        <v>74</v>
      </c>
      <c r="AW866" t="s">
        <v>74</v>
      </c>
      <c r="AX866" t="s">
        <v>74</v>
      </c>
      <c r="AY866" t="s">
        <v>74</v>
      </c>
      <c r="AZ866" t="s">
        <v>74</v>
      </c>
      <c r="BA866" t="s">
        <v>74</v>
      </c>
      <c r="BB866">
        <v>903</v>
      </c>
      <c r="BC866">
        <v>906</v>
      </c>
      <c r="BD866" t="s">
        <v>74</v>
      </c>
      <c r="BE866" t="s">
        <v>12969</v>
      </c>
      <c r="BF866" t="str">
        <f>HYPERLINK("http://dx.doi.org/10.1109/IGARSS.2006.232","http://dx.doi.org/10.1109/IGARSS.2006.232")</f>
        <v>http://dx.doi.org/10.1109/IGARSS.2006.232</v>
      </c>
      <c r="BG866" t="s">
        <v>74</v>
      </c>
      <c r="BH866" t="s">
        <v>74</v>
      </c>
      <c r="BI866">
        <v>4</v>
      </c>
      <c r="BJ866" t="s">
        <v>12955</v>
      </c>
      <c r="BK866" t="s">
        <v>12886</v>
      </c>
      <c r="BL866" t="s">
        <v>12956</v>
      </c>
      <c r="BM866" t="s">
        <v>12957</v>
      </c>
      <c r="BN866" t="s">
        <v>74</v>
      </c>
      <c r="BO866" t="s">
        <v>74</v>
      </c>
      <c r="BP866" t="s">
        <v>74</v>
      </c>
      <c r="BQ866" t="s">
        <v>74</v>
      </c>
      <c r="BR866" t="s">
        <v>100</v>
      </c>
      <c r="BS866" t="s">
        <v>12970</v>
      </c>
      <c r="BT866" t="str">
        <f>HYPERLINK("https%3A%2F%2Fwww.webofscience.com%2Fwos%2Fwoscc%2Ffull-record%2FWOS:000260989400227","View Full Record in Web of Science")</f>
        <v>View Full Record in Web of Science</v>
      </c>
    </row>
    <row r="867" spans="1:72" x14ac:dyDescent="0.15">
      <c r="A867" t="s">
        <v>12866</v>
      </c>
      <c r="B867" t="s">
        <v>12971</v>
      </c>
      <c r="C867" t="s">
        <v>74</v>
      </c>
      <c r="D867" t="s">
        <v>74</v>
      </c>
      <c r="E867" t="s">
        <v>12868</v>
      </c>
      <c r="F867" t="s">
        <v>12972</v>
      </c>
      <c r="G867" t="s">
        <v>74</v>
      </c>
      <c r="H867" t="s">
        <v>74</v>
      </c>
      <c r="I867" t="s">
        <v>12973</v>
      </c>
      <c r="J867" t="s">
        <v>12939</v>
      </c>
      <c r="K867" t="s">
        <v>12940</v>
      </c>
      <c r="L867" t="s">
        <v>74</v>
      </c>
      <c r="M867" t="s">
        <v>78</v>
      </c>
      <c r="N867" t="s">
        <v>12873</v>
      </c>
      <c r="O867" t="s">
        <v>12941</v>
      </c>
      <c r="P867" t="s">
        <v>12942</v>
      </c>
      <c r="Q867" t="s">
        <v>12943</v>
      </c>
      <c r="R867" t="s">
        <v>74</v>
      </c>
      <c r="S867" t="s">
        <v>74</v>
      </c>
      <c r="T867" t="s">
        <v>12974</v>
      </c>
      <c r="U867" t="s">
        <v>12975</v>
      </c>
      <c r="V867" t="s">
        <v>12976</v>
      </c>
      <c r="W867" t="s">
        <v>12977</v>
      </c>
      <c r="X867" t="s">
        <v>12978</v>
      </c>
      <c r="Y867" t="s">
        <v>12979</v>
      </c>
      <c r="Z867" t="s">
        <v>12980</v>
      </c>
      <c r="AA867" t="s">
        <v>12981</v>
      </c>
      <c r="AB867" t="s">
        <v>12982</v>
      </c>
      <c r="AC867" t="s">
        <v>74</v>
      </c>
      <c r="AD867" t="s">
        <v>74</v>
      </c>
      <c r="AE867" t="s">
        <v>74</v>
      </c>
      <c r="AF867" t="s">
        <v>74</v>
      </c>
      <c r="AG867">
        <v>28</v>
      </c>
      <c r="AH867">
        <v>6</v>
      </c>
      <c r="AI867">
        <v>6</v>
      </c>
      <c r="AJ867">
        <v>0</v>
      </c>
      <c r="AK867">
        <v>7</v>
      </c>
      <c r="AL867" t="s">
        <v>12868</v>
      </c>
      <c r="AM867" t="s">
        <v>476</v>
      </c>
      <c r="AN867" t="s">
        <v>12881</v>
      </c>
      <c r="AO867" t="s">
        <v>12951</v>
      </c>
      <c r="AP867" t="s">
        <v>74</v>
      </c>
      <c r="AQ867" t="s">
        <v>12952</v>
      </c>
      <c r="AR867" t="s">
        <v>12953</v>
      </c>
      <c r="AS867" t="s">
        <v>74</v>
      </c>
      <c r="AT867" t="s">
        <v>74</v>
      </c>
      <c r="AU867">
        <v>2006</v>
      </c>
      <c r="AV867" t="s">
        <v>74</v>
      </c>
      <c r="AW867" t="s">
        <v>74</v>
      </c>
      <c r="AX867" t="s">
        <v>74</v>
      </c>
      <c r="AY867" t="s">
        <v>74</v>
      </c>
      <c r="AZ867" t="s">
        <v>74</v>
      </c>
      <c r="BA867" t="s">
        <v>74</v>
      </c>
      <c r="BB867">
        <v>1236</v>
      </c>
      <c r="BC867">
        <v>1239</v>
      </c>
      <c r="BD867" t="s">
        <v>74</v>
      </c>
      <c r="BE867" t="s">
        <v>12983</v>
      </c>
      <c r="BF867" t="str">
        <f>HYPERLINK("http://dx.doi.org/10.1109/IGARSS.2006.319","http://dx.doi.org/10.1109/IGARSS.2006.319")</f>
        <v>http://dx.doi.org/10.1109/IGARSS.2006.319</v>
      </c>
      <c r="BG867" t="s">
        <v>74</v>
      </c>
      <c r="BH867" t="s">
        <v>74</v>
      </c>
      <c r="BI867">
        <v>4</v>
      </c>
      <c r="BJ867" t="s">
        <v>12955</v>
      </c>
      <c r="BK867" t="s">
        <v>12886</v>
      </c>
      <c r="BL867" t="s">
        <v>12956</v>
      </c>
      <c r="BM867" t="s">
        <v>12957</v>
      </c>
      <c r="BN867" t="s">
        <v>74</v>
      </c>
      <c r="BO867" t="s">
        <v>74</v>
      </c>
      <c r="BP867" t="s">
        <v>74</v>
      </c>
      <c r="BQ867" t="s">
        <v>74</v>
      </c>
      <c r="BR867" t="s">
        <v>100</v>
      </c>
      <c r="BS867" t="s">
        <v>12984</v>
      </c>
      <c r="BT867" t="str">
        <f>HYPERLINK("https%3A%2F%2Fwww.webofscience.com%2Fwos%2Fwoscc%2Ffull-record%2FWOS:000260989400314","View Full Record in Web of Science")</f>
        <v>View Full Record in Web of Science</v>
      </c>
    </row>
    <row r="868" spans="1:72" x14ac:dyDescent="0.15">
      <c r="A868" t="s">
        <v>12866</v>
      </c>
      <c r="B868" t="s">
        <v>12985</v>
      </c>
      <c r="C868" t="s">
        <v>74</v>
      </c>
      <c r="D868" t="s">
        <v>74</v>
      </c>
      <c r="E868" t="s">
        <v>12868</v>
      </c>
      <c r="F868" t="s">
        <v>12986</v>
      </c>
      <c r="G868" t="s">
        <v>74</v>
      </c>
      <c r="H868" t="s">
        <v>74</v>
      </c>
      <c r="I868" t="s">
        <v>12987</v>
      </c>
      <c r="J868" t="s">
        <v>12939</v>
      </c>
      <c r="K868" t="s">
        <v>12940</v>
      </c>
      <c r="L868" t="s">
        <v>74</v>
      </c>
      <c r="M868" t="s">
        <v>78</v>
      </c>
      <c r="N868" t="s">
        <v>12873</v>
      </c>
      <c r="O868" t="s">
        <v>12941</v>
      </c>
      <c r="P868" t="s">
        <v>12942</v>
      </c>
      <c r="Q868" t="s">
        <v>12943</v>
      </c>
      <c r="R868" t="s">
        <v>74</v>
      </c>
      <c r="S868" t="s">
        <v>74</v>
      </c>
      <c r="T868" t="s">
        <v>12988</v>
      </c>
      <c r="U868" t="s">
        <v>74</v>
      </c>
      <c r="V868" t="s">
        <v>12989</v>
      </c>
      <c r="W868" t="s">
        <v>12990</v>
      </c>
      <c r="X868" t="s">
        <v>12991</v>
      </c>
      <c r="Y868" t="s">
        <v>12992</v>
      </c>
      <c r="Z868" t="s">
        <v>12993</v>
      </c>
      <c r="AA868" t="s">
        <v>12994</v>
      </c>
      <c r="AB868" t="s">
        <v>12995</v>
      </c>
      <c r="AC868" t="s">
        <v>74</v>
      </c>
      <c r="AD868" t="s">
        <v>74</v>
      </c>
      <c r="AE868" t="s">
        <v>74</v>
      </c>
      <c r="AF868" t="s">
        <v>74</v>
      </c>
      <c r="AG868">
        <v>10</v>
      </c>
      <c r="AH868">
        <v>0</v>
      </c>
      <c r="AI868">
        <v>0</v>
      </c>
      <c r="AJ868">
        <v>0</v>
      </c>
      <c r="AK868">
        <v>5</v>
      </c>
      <c r="AL868" t="s">
        <v>12868</v>
      </c>
      <c r="AM868" t="s">
        <v>476</v>
      </c>
      <c r="AN868" t="s">
        <v>12881</v>
      </c>
      <c r="AO868" t="s">
        <v>12951</v>
      </c>
      <c r="AP868" t="s">
        <v>74</v>
      </c>
      <c r="AQ868" t="s">
        <v>12952</v>
      </c>
      <c r="AR868" t="s">
        <v>12953</v>
      </c>
      <c r="AS868" t="s">
        <v>74</v>
      </c>
      <c r="AT868" t="s">
        <v>74</v>
      </c>
      <c r="AU868">
        <v>2006</v>
      </c>
      <c r="AV868" t="s">
        <v>74</v>
      </c>
      <c r="AW868" t="s">
        <v>74</v>
      </c>
      <c r="AX868" t="s">
        <v>74</v>
      </c>
      <c r="AY868" t="s">
        <v>74</v>
      </c>
      <c r="AZ868" t="s">
        <v>74</v>
      </c>
      <c r="BA868" t="s">
        <v>74</v>
      </c>
      <c r="BB868">
        <v>1792</v>
      </c>
      <c r="BC868">
        <v>1795</v>
      </c>
      <c r="BD868" t="s">
        <v>74</v>
      </c>
      <c r="BE868" t="s">
        <v>12996</v>
      </c>
      <c r="BF868" t="str">
        <f>HYPERLINK("http://dx.doi.org/10.1109/IGARSS.2006.463","http://dx.doi.org/10.1109/IGARSS.2006.463")</f>
        <v>http://dx.doi.org/10.1109/IGARSS.2006.463</v>
      </c>
      <c r="BG868" t="s">
        <v>74</v>
      </c>
      <c r="BH868" t="s">
        <v>74</v>
      </c>
      <c r="BI868">
        <v>4</v>
      </c>
      <c r="BJ868" t="s">
        <v>12955</v>
      </c>
      <c r="BK868" t="s">
        <v>12886</v>
      </c>
      <c r="BL868" t="s">
        <v>12956</v>
      </c>
      <c r="BM868" t="s">
        <v>12957</v>
      </c>
      <c r="BN868" t="s">
        <v>74</v>
      </c>
      <c r="BO868" t="s">
        <v>74</v>
      </c>
      <c r="BP868" t="s">
        <v>74</v>
      </c>
      <c r="BQ868" t="s">
        <v>74</v>
      </c>
      <c r="BR868" t="s">
        <v>100</v>
      </c>
      <c r="BS868" t="s">
        <v>12997</v>
      </c>
      <c r="BT868" t="str">
        <f>HYPERLINK("https%3A%2F%2Fwww.webofscience.com%2Fwos%2Fwoscc%2Ffull-record%2FWOS:000260989401055","View Full Record in Web of Science")</f>
        <v>View Full Record in Web of Science</v>
      </c>
    </row>
    <row r="869" spans="1:72" x14ac:dyDescent="0.15">
      <c r="A869" t="s">
        <v>12866</v>
      </c>
      <c r="B869" t="s">
        <v>12998</v>
      </c>
      <c r="C869" t="s">
        <v>74</v>
      </c>
      <c r="D869" t="s">
        <v>74</v>
      </c>
      <c r="E869" t="s">
        <v>12868</v>
      </c>
      <c r="F869" t="s">
        <v>12999</v>
      </c>
      <c r="G869" t="s">
        <v>74</v>
      </c>
      <c r="H869" t="s">
        <v>74</v>
      </c>
      <c r="I869" t="s">
        <v>13000</v>
      </c>
      <c r="J869" t="s">
        <v>12939</v>
      </c>
      <c r="K869" t="s">
        <v>12940</v>
      </c>
      <c r="L869" t="s">
        <v>74</v>
      </c>
      <c r="M869" t="s">
        <v>78</v>
      </c>
      <c r="N869" t="s">
        <v>12873</v>
      </c>
      <c r="O869" t="s">
        <v>12941</v>
      </c>
      <c r="P869" t="s">
        <v>12942</v>
      </c>
      <c r="Q869" t="s">
        <v>12943</v>
      </c>
      <c r="R869" t="s">
        <v>74</v>
      </c>
      <c r="S869" t="s">
        <v>74</v>
      </c>
      <c r="T869" t="s">
        <v>13001</v>
      </c>
      <c r="U869" t="s">
        <v>74</v>
      </c>
      <c r="V869" t="s">
        <v>13002</v>
      </c>
      <c r="W869" t="s">
        <v>13003</v>
      </c>
      <c r="X869" t="s">
        <v>13004</v>
      </c>
      <c r="Y869" t="s">
        <v>13005</v>
      </c>
      <c r="Z869" t="s">
        <v>13006</v>
      </c>
      <c r="AA869" t="s">
        <v>74</v>
      </c>
      <c r="AB869" t="s">
        <v>74</v>
      </c>
      <c r="AC869" t="s">
        <v>74</v>
      </c>
      <c r="AD869" t="s">
        <v>74</v>
      </c>
      <c r="AE869" t="s">
        <v>74</v>
      </c>
      <c r="AF869" t="s">
        <v>74</v>
      </c>
      <c r="AG869">
        <v>4</v>
      </c>
      <c r="AH869">
        <v>1</v>
      </c>
      <c r="AI869">
        <v>2</v>
      </c>
      <c r="AJ869">
        <v>0</v>
      </c>
      <c r="AK869">
        <v>6</v>
      </c>
      <c r="AL869" t="s">
        <v>12868</v>
      </c>
      <c r="AM869" t="s">
        <v>476</v>
      </c>
      <c r="AN869" t="s">
        <v>12881</v>
      </c>
      <c r="AO869" t="s">
        <v>12951</v>
      </c>
      <c r="AP869" t="s">
        <v>74</v>
      </c>
      <c r="AQ869" t="s">
        <v>12952</v>
      </c>
      <c r="AR869" t="s">
        <v>12953</v>
      </c>
      <c r="AS869" t="s">
        <v>74</v>
      </c>
      <c r="AT869" t="s">
        <v>74</v>
      </c>
      <c r="AU869">
        <v>2006</v>
      </c>
      <c r="AV869" t="s">
        <v>74</v>
      </c>
      <c r="AW869" t="s">
        <v>74</v>
      </c>
      <c r="AX869" t="s">
        <v>74</v>
      </c>
      <c r="AY869" t="s">
        <v>74</v>
      </c>
      <c r="AZ869" t="s">
        <v>74</v>
      </c>
      <c r="BA869" t="s">
        <v>74</v>
      </c>
      <c r="BB869">
        <v>2712</v>
      </c>
      <c r="BC869" t="s">
        <v>7504</v>
      </c>
      <c r="BD869" t="s">
        <v>74</v>
      </c>
      <c r="BE869" t="s">
        <v>13007</v>
      </c>
      <c r="BF869" t="str">
        <f>HYPERLINK("http://dx.doi.org/10.1109/IGARSS.2006.700","http://dx.doi.org/10.1109/IGARSS.2006.700")</f>
        <v>http://dx.doi.org/10.1109/IGARSS.2006.700</v>
      </c>
      <c r="BG869" t="s">
        <v>74</v>
      </c>
      <c r="BH869" t="s">
        <v>74</v>
      </c>
      <c r="BI869">
        <v>2</v>
      </c>
      <c r="BJ869" t="s">
        <v>12955</v>
      </c>
      <c r="BK869" t="s">
        <v>12886</v>
      </c>
      <c r="BL869" t="s">
        <v>12956</v>
      </c>
      <c r="BM869" t="s">
        <v>12957</v>
      </c>
      <c r="BN869" t="s">
        <v>74</v>
      </c>
      <c r="BO869" t="s">
        <v>74</v>
      </c>
      <c r="BP869" t="s">
        <v>74</v>
      </c>
      <c r="BQ869" t="s">
        <v>74</v>
      </c>
      <c r="BR869" t="s">
        <v>100</v>
      </c>
      <c r="BS869" t="s">
        <v>13008</v>
      </c>
      <c r="BT869" t="str">
        <f>HYPERLINK("https%3A%2F%2Fwww.webofscience.com%2Fwos%2Fwoscc%2Ffull-record%2FWOS:000260989401292","View Full Record in Web of Science")</f>
        <v>View Full Record in Web of Science</v>
      </c>
    </row>
    <row r="870" spans="1:72" x14ac:dyDescent="0.15">
      <c r="A870" t="s">
        <v>12866</v>
      </c>
      <c r="B870" t="s">
        <v>12959</v>
      </c>
      <c r="C870" t="s">
        <v>74</v>
      </c>
      <c r="D870" t="s">
        <v>74</v>
      </c>
      <c r="E870" t="s">
        <v>12868</v>
      </c>
      <c r="F870" t="s">
        <v>12960</v>
      </c>
      <c r="G870" t="s">
        <v>74</v>
      </c>
      <c r="H870" t="s">
        <v>74</v>
      </c>
      <c r="I870" t="s">
        <v>13009</v>
      </c>
      <c r="J870" t="s">
        <v>12939</v>
      </c>
      <c r="K870" t="s">
        <v>12940</v>
      </c>
      <c r="L870" t="s">
        <v>74</v>
      </c>
      <c r="M870" t="s">
        <v>78</v>
      </c>
      <c r="N870" t="s">
        <v>12873</v>
      </c>
      <c r="O870" t="s">
        <v>12941</v>
      </c>
      <c r="P870" t="s">
        <v>12942</v>
      </c>
      <c r="Q870" t="s">
        <v>12943</v>
      </c>
      <c r="R870" t="s">
        <v>74</v>
      </c>
      <c r="S870" t="s">
        <v>74</v>
      </c>
      <c r="T870" t="s">
        <v>74</v>
      </c>
      <c r="U870" t="s">
        <v>13010</v>
      </c>
      <c r="V870" t="s">
        <v>13011</v>
      </c>
      <c r="W870" t="s">
        <v>13012</v>
      </c>
      <c r="X870" t="s">
        <v>4630</v>
      </c>
      <c r="Y870" t="s">
        <v>13013</v>
      </c>
      <c r="Z870" t="s">
        <v>12966</v>
      </c>
      <c r="AA870" t="s">
        <v>12967</v>
      </c>
      <c r="AB870" t="s">
        <v>12968</v>
      </c>
      <c r="AC870" t="s">
        <v>74</v>
      </c>
      <c r="AD870" t="s">
        <v>74</v>
      </c>
      <c r="AE870" t="s">
        <v>74</v>
      </c>
      <c r="AF870" t="s">
        <v>74</v>
      </c>
      <c r="AG870">
        <v>15</v>
      </c>
      <c r="AH870">
        <v>2</v>
      </c>
      <c r="AI870">
        <v>2</v>
      </c>
      <c r="AJ870">
        <v>0</v>
      </c>
      <c r="AK870">
        <v>6</v>
      </c>
      <c r="AL870" t="s">
        <v>12868</v>
      </c>
      <c r="AM870" t="s">
        <v>476</v>
      </c>
      <c r="AN870" t="s">
        <v>12881</v>
      </c>
      <c r="AO870" t="s">
        <v>12951</v>
      </c>
      <c r="AP870" t="s">
        <v>74</v>
      </c>
      <c r="AQ870" t="s">
        <v>12952</v>
      </c>
      <c r="AR870" t="s">
        <v>12953</v>
      </c>
      <c r="AS870" t="s">
        <v>74</v>
      </c>
      <c r="AT870" t="s">
        <v>74</v>
      </c>
      <c r="AU870">
        <v>2006</v>
      </c>
      <c r="AV870" t="s">
        <v>74</v>
      </c>
      <c r="AW870" t="s">
        <v>74</v>
      </c>
      <c r="AX870" t="s">
        <v>74</v>
      </c>
      <c r="AY870" t="s">
        <v>74</v>
      </c>
      <c r="AZ870" t="s">
        <v>74</v>
      </c>
      <c r="BA870" t="s">
        <v>74</v>
      </c>
      <c r="BB870">
        <v>2777</v>
      </c>
      <c r="BC870">
        <v>2780</v>
      </c>
      <c r="BD870" t="s">
        <v>74</v>
      </c>
      <c r="BE870" t="s">
        <v>13014</v>
      </c>
      <c r="BF870" t="str">
        <f>HYPERLINK("http://dx.doi.org/10.1109/IGARSS.2006.714","http://dx.doi.org/10.1109/IGARSS.2006.714")</f>
        <v>http://dx.doi.org/10.1109/IGARSS.2006.714</v>
      </c>
      <c r="BG870" t="s">
        <v>74</v>
      </c>
      <c r="BH870" t="s">
        <v>74</v>
      </c>
      <c r="BI870">
        <v>4</v>
      </c>
      <c r="BJ870" t="s">
        <v>12955</v>
      </c>
      <c r="BK870" t="s">
        <v>12886</v>
      </c>
      <c r="BL870" t="s">
        <v>12956</v>
      </c>
      <c r="BM870" t="s">
        <v>12957</v>
      </c>
      <c r="BN870" t="s">
        <v>74</v>
      </c>
      <c r="BO870" t="s">
        <v>74</v>
      </c>
      <c r="BP870" t="s">
        <v>74</v>
      </c>
      <c r="BQ870" t="s">
        <v>74</v>
      </c>
      <c r="BR870" t="s">
        <v>100</v>
      </c>
      <c r="BS870" t="s">
        <v>13015</v>
      </c>
      <c r="BT870" t="str">
        <f>HYPERLINK("https%3A%2F%2Fwww.webofscience.com%2Fwos%2Fwoscc%2Ffull-record%2FWOS:000260989401306","View Full Record in Web of Science")</f>
        <v>View Full Record in Web of Science</v>
      </c>
    </row>
    <row r="871" spans="1:72" x14ac:dyDescent="0.15">
      <c r="A871" t="s">
        <v>12866</v>
      </c>
      <c r="B871" t="s">
        <v>13016</v>
      </c>
      <c r="C871" t="s">
        <v>74</v>
      </c>
      <c r="D871" t="s">
        <v>74</v>
      </c>
      <c r="E871" t="s">
        <v>12868</v>
      </c>
      <c r="F871" t="s">
        <v>13017</v>
      </c>
      <c r="G871" t="s">
        <v>74</v>
      </c>
      <c r="H871" t="s">
        <v>74</v>
      </c>
      <c r="I871" t="s">
        <v>13018</v>
      </c>
      <c r="J871" t="s">
        <v>12939</v>
      </c>
      <c r="K871" t="s">
        <v>13019</v>
      </c>
      <c r="L871" t="s">
        <v>74</v>
      </c>
      <c r="M871" t="s">
        <v>78</v>
      </c>
      <c r="N871" t="s">
        <v>12873</v>
      </c>
      <c r="O871" t="s">
        <v>12941</v>
      </c>
      <c r="P871" t="s">
        <v>12942</v>
      </c>
      <c r="Q871" t="s">
        <v>12943</v>
      </c>
      <c r="R871" t="s">
        <v>74</v>
      </c>
      <c r="S871" t="s">
        <v>74</v>
      </c>
      <c r="T871" t="s">
        <v>74</v>
      </c>
      <c r="U871" t="s">
        <v>74</v>
      </c>
      <c r="V871" t="s">
        <v>13020</v>
      </c>
      <c r="W871" t="s">
        <v>13021</v>
      </c>
      <c r="X871" t="s">
        <v>13022</v>
      </c>
      <c r="Y871" t="s">
        <v>13023</v>
      </c>
      <c r="Z871" t="s">
        <v>13024</v>
      </c>
      <c r="AA871" t="s">
        <v>13025</v>
      </c>
      <c r="AB871" t="s">
        <v>13026</v>
      </c>
      <c r="AC871" t="s">
        <v>74</v>
      </c>
      <c r="AD871" t="s">
        <v>74</v>
      </c>
      <c r="AE871" t="s">
        <v>74</v>
      </c>
      <c r="AF871" t="s">
        <v>74</v>
      </c>
      <c r="AG871">
        <v>8</v>
      </c>
      <c r="AH871">
        <v>2</v>
      </c>
      <c r="AI871">
        <v>2</v>
      </c>
      <c r="AJ871">
        <v>0</v>
      </c>
      <c r="AK871">
        <v>1</v>
      </c>
      <c r="AL871" t="s">
        <v>12868</v>
      </c>
      <c r="AM871" t="s">
        <v>476</v>
      </c>
      <c r="AN871" t="s">
        <v>12881</v>
      </c>
      <c r="AO871" t="s">
        <v>74</v>
      </c>
      <c r="AP871" t="s">
        <v>74</v>
      </c>
      <c r="AQ871" t="s">
        <v>12952</v>
      </c>
      <c r="AR871" t="s">
        <v>12953</v>
      </c>
      <c r="AS871" t="s">
        <v>74</v>
      </c>
      <c r="AT871" t="s">
        <v>74</v>
      </c>
      <c r="AU871">
        <v>2006</v>
      </c>
      <c r="AV871" t="s">
        <v>74</v>
      </c>
      <c r="AW871" t="s">
        <v>74</v>
      </c>
      <c r="AX871" t="s">
        <v>74</v>
      </c>
      <c r="AY871" t="s">
        <v>74</v>
      </c>
      <c r="AZ871" t="s">
        <v>74</v>
      </c>
      <c r="BA871" t="s">
        <v>74</v>
      </c>
      <c r="BB871">
        <v>3820</v>
      </c>
      <c r="BC871">
        <v>3823</v>
      </c>
      <c r="BD871" t="s">
        <v>74</v>
      </c>
      <c r="BE871" t="s">
        <v>13027</v>
      </c>
      <c r="BF871" t="str">
        <f>HYPERLINK("http://dx.doi.org/10.1109/IGARSS.2006.979","http://dx.doi.org/10.1109/IGARSS.2006.979")</f>
        <v>http://dx.doi.org/10.1109/IGARSS.2006.979</v>
      </c>
      <c r="BG871" t="s">
        <v>74</v>
      </c>
      <c r="BH871" t="s">
        <v>74</v>
      </c>
      <c r="BI871">
        <v>4</v>
      </c>
      <c r="BJ871" t="s">
        <v>12955</v>
      </c>
      <c r="BK871" t="s">
        <v>12886</v>
      </c>
      <c r="BL871" t="s">
        <v>12956</v>
      </c>
      <c r="BM871" t="s">
        <v>12957</v>
      </c>
      <c r="BN871" t="s">
        <v>74</v>
      </c>
      <c r="BO871" t="s">
        <v>74</v>
      </c>
      <c r="BP871" t="s">
        <v>74</v>
      </c>
      <c r="BQ871" t="s">
        <v>74</v>
      </c>
      <c r="BR871" t="s">
        <v>100</v>
      </c>
      <c r="BS871" t="s">
        <v>13028</v>
      </c>
      <c r="BT871" t="str">
        <f>HYPERLINK("https%3A%2F%2Fwww.webofscience.com%2Fwos%2Fwoscc%2Ffull-record%2FWOS:000260989402165","View Full Record in Web of Science")</f>
        <v>View Full Record in Web of Science</v>
      </c>
    </row>
    <row r="872" spans="1:72" x14ac:dyDescent="0.15">
      <c r="A872" t="s">
        <v>12866</v>
      </c>
      <c r="B872" t="s">
        <v>13029</v>
      </c>
      <c r="C872" t="s">
        <v>74</v>
      </c>
      <c r="D872" t="s">
        <v>74</v>
      </c>
      <c r="E872" t="s">
        <v>12868</v>
      </c>
      <c r="F872" t="s">
        <v>13030</v>
      </c>
      <c r="G872" t="s">
        <v>74</v>
      </c>
      <c r="H872" t="s">
        <v>74</v>
      </c>
      <c r="I872" t="s">
        <v>13031</v>
      </c>
      <c r="J872" t="s">
        <v>12939</v>
      </c>
      <c r="K872" t="s">
        <v>12940</v>
      </c>
      <c r="L872" t="s">
        <v>74</v>
      </c>
      <c r="M872" t="s">
        <v>78</v>
      </c>
      <c r="N872" t="s">
        <v>12873</v>
      </c>
      <c r="O872" t="s">
        <v>12941</v>
      </c>
      <c r="P872" t="s">
        <v>12942</v>
      </c>
      <c r="Q872" t="s">
        <v>12943</v>
      </c>
      <c r="R872" t="s">
        <v>74</v>
      </c>
      <c r="S872" t="s">
        <v>74</v>
      </c>
      <c r="T872" t="s">
        <v>13032</v>
      </c>
      <c r="U872" t="s">
        <v>13033</v>
      </c>
      <c r="V872" t="s">
        <v>13034</v>
      </c>
      <c r="W872" t="s">
        <v>13035</v>
      </c>
      <c r="X872" t="s">
        <v>13036</v>
      </c>
      <c r="Y872" t="s">
        <v>13037</v>
      </c>
      <c r="Z872" t="s">
        <v>13038</v>
      </c>
      <c r="AA872" t="s">
        <v>13039</v>
      </c>
      <c r="AB872" t="s">
        <v>13040</v>
      </c>
      <c r="AC872" t="s">
        <v>13041</v>
      </c>
      <c r="AD872" t="s">
        <v>13041</v>
      </c>
      <c r="AE872" t="s">
        <v>13042</v>
      </c>
      <c r="AF872" t="s">
        <v>74</v>
      </c>
      <c r="AG872">
        <v>10</v>
      </c>
      <c r="AH872">
        <v>0</v>
      </c>
      <c r="AI872">
        <v>0</v>
      </c>
      <c r="AJ872">
        <v>0</v>
      </c>
      <c r="AK872">
        <v>0</v>
      </c>
      <c r="AL872" t="s">
        <v>12868</v>
      </c>
      <c r="AM872" t="s">
        <v>476</v>
      </c>
      <c r="AN872" t="s">
        <v>12881</v>
      </c>
      <c r="AO872" t="s">
        <v>12951</v>
      </c>
      <c r="AP872" t="s">
        <v>74</v>
      </c>
      <c r="AQ872" t="s">
        <v>12952</v>
      </c>
      <c r="AR872" t="s">
        <v>12953</v>
      </c>
      <c r="AS872" t="s">
        <v>74</v>
      </c>
      <c r="AT872" t="s">
        <v>74</v>
      </c>
      <c r="AU872">
        <v>2006</v>
      </c>
      <c r="AV872" t="s">
        <v>74</v>
      </c>
      <c r="AW872" t="s">
        <v>74</v>
      </c>
      <c r="AX872" t="s">
        <v>74</v>
      </c>
      <c r="AY872" t="s">
        <v>74</v>
      </c>
      <c r="AZ872" t="s">
        <v>74</v>
      </c>
      <c r="BA872" t="s">
        <v>74</v>
      </c>
      <c r="BB872">
        <v>3824</v>
      </c>
      <c r="BC872" t="s">
        <v>7504</v>
      </c>
      <c r="BD872" t="s">
        <v>74</v>
      </c>
      <c r="BE872" t="s">
        <v>13043</v>
      </c>
      <c r="BF872" t="str">
        <f>HYPERLINK("http://dx.doi.org/10.1109/IGARSS.2006.980","http://dx.doi.org/10.1109/IGARSS.2006.980")</f>
        <v>http://dx.doi.org/10.1109/IGARSS.2006.980</v>
      </c>
      <c r="BG872" t="s">
        <v>74</v>
      </c>
      <c r="BH872" t="s">
        <v>74</v>
      </c>
      <c r="BI872">
        <v>3</v>
      </c>
      <c r="BJ872" t="s">
        <v>12955</v>
      </c>
      <c r="BK872" t="s">
        <v>12886</v>
      </c>
      <c r="BL872" t="s">
        <v>12956</v>
      </c>
      <c r="BM872" t="s">
        <v>12957</v>
      </c>
      <c r="BN872" t="s">
        <v>74</v>
      </c>
      <c r="BO872" t="s">
        <v>147</v>
      </c>
      <c r="BP872" t="s">
        <v>74</v>
      </c>
      <c r="BQ872" t="s">
        <v>74</v>
      </c>
      <c r="BR872" t="s">
        <v>100</v>
      </c>
      <c r="BS872" t="s">
        <v>13044</v>
      </c>
      <c r="BT872" t="str">
        <f>HYPERLINK("https%3A%2F%2Fwww.webofscience.com%2Fwos%2Fwoscc%2Ffull-record%2FWOS:000260989402166","View Full Record in Web of Science")</f>
        <v>View Full Record in Web of Science</v>
      </c>
    </row>
    <row r="873" spans="1:72" x14ac:dyDescent="0.15">
      <c r="A873" t="s">
        <v>12866</v>
      </c>
      <c r="B873" t="s">
        <v>13045</v>
      </c>
      <c r="C873" t="s">
        <v>74</v>
      </c>
      <c r="D873" t="s">
        <v>74</v>
      </c>
      <c r="E873" t="s">
        <v>12868</v>
      </c>
      <c r="F873" t="s">
        <v>13046</v>
      </c>
      <c r="G873" t="s">
        <v>74</v>
      </c>
      <c r="H873" t="s">
        <v>74</v>
      </c>
      <c r="I873" t="s">
        <v>13047</v>
      </c>
      <c r="J873" t="s">
        <v>12939</v>
      </c>
      <c r="K873" t="s">
        <v>13019</v>
      </c>
      <c r="L873" t="s">
        <v>74</v>
      </c>
      <c r="M873" t="s">
        <v>78</v>
      </c>
      <c r="N873" t="s">
        <v>12873</v>
      </c>
      <c r="O873" t="s">
        <v>12941</v>
      </c>
      <c r="P873" t="s">
        <v>12942</v>
      </c>
      <c r="Q873" t="s">
        <v>12943</v>
      </c>
      <c r="R873" t="s">
        <v>74</v>
      </c>
      <c r="S873" t="s">
        <v>74</v>
      </c>
      <c r="T873" t="s">
        <v>74</v>
      </c>
      <c r="U873" t="s">
        <v>74</v>
      </c>
      <c r="V873" t="s">
        <v>13048</v>
      </c>
      <c r="W873" t="s">
        <v>13049</v>
      </c>
      <c r="X873" t="s">
        <v>13050</v>
      </c>
      <c r="Y873" t="s">
        <v>13051</v>
      </c>
      <c r="Z873" t="s">
        <v>13052</v>
      </c>
      <c r="AA873" t="s">
        <v>13039</v>
      </c>
      <c r="AB873" t="s">
        <v>13040</v>
      </c>
      <c r="AC873" t="s">
        <v>74</v>
      </c>
      <c r="AD873" t="s">
        <v>74</v>
      </c>
      <c r="AE873" t="s">
        <v>74</v>
      </c>
      <c r="AF873" t="s">
        <v>74</v>
      </c>
      <c r="AG873">
        <v>4</v>
      </c>
      <c r="AH873">
        <v>1</v>
      </c>
      <c r="AI873">
        <v>1</v>
      </c>
      <c r="AJ873">
        <v>0</v>
      </c>
      <c r="AK873">
        <v>3</v>
      </c>
      <c r="AL873" t="s">
        <v>12868</v>
      </c>
      <c r="AM873" t="s">
        <v>476</v>
      </c>
      <c r="AN873" t="s">
        <v>12881</v>
      </c>
      <c r="AO873" t="s">
        <v>74</v>
      </c>
      <c r="AP873" t="s">
        <v>74</v>
      </c>
      <c r="AQ873" t="s">
        <v>12952</v>
      </c>
      <c r="AR873" t="s">
        <v>12953</v>
      </c>
      <c r="AS873" t="s">
        <v>74</v>
      </c>
      <c r="AT873" t="s">
        <v>74</v>
      </c>
      <c r="AU873">
        <v>2006</v>
      </c>
      <c r="AV873" t="s">
        <v>74</v>
      </c>
      <c r="AW873" t="s">
        <v>74</v>
      </c>
      <c r="AX873" t="s">
        <v>74</v>
      </c>
      <c r="AY873" t="s">
        <v>74</v>
      </c>
      <c r="AZ873" t="s">
        <v>74</v>
      </c>
      <c r="BA873" t="s">
        <v>74</v>
      </c>
      <c r="BB873">
        <v>3832</v>
      </c>
      <c r="BC873">
        <v>3834</v>
      </c>
      <c r="BD873" t="s">
        <v>74</v>
      </c>
      <c r="BE873" t="s">
        <v>13053</v>
      </c>
      <c r="BF873" t="str">
        <f>HYPERLINK("http://dx.doi.org/10.1109/IGARSS.2006.982","http://dx.doi.org/10.1109/IGARSS.2006.982")</f>
        <v>http://dx.doi.org/10.1109/IGARSS.2006.982</v>
      </c>
      <c r="BG873" t="s">
        <v>74</v>
      </c>
      <c r="BH873" t="s">
        <v>74</v>
      </c>
      <c r="BI873">
        <v>3</v>
      </c>
      <c r="BJ873" t="s">
        <v>12955</v>
      </c>
      <c r="BK873" t="s">
        <v>12886</v>
      </c>
      <c r="BL873" t="s">
        <v>12956</v>
      </c>
      <c r="BM873" t="s">
        <v>12957</v>
      </c>
      <c r="BN873" t="s">
        <v>74</v>
      </c>
      <c r="BO873" t="s">
        <v>74</v>
      </c>
      <c r="BP873" t="s">
        <v>74</v>
      </c>
      <c r="BQ873" t="s">
        <v>74</v>
      </c>
      <c r="BR873" t="s">
        <v>100</v>
      </c>
      <c r="BS873" t="s">
        <v>13054</v>
      </c>
      <c r="BT873" t="str">
        <f>HYPERLINK("https%3A%2F%2Fwww.webofscience.com%2Fwos%2Fwoscc%2Ffull-record%2FWOS:000260989402168","View Full Record in Web of Science")</f>
        <v>View Full Record in Web of Science</v>
      </c>
    </row>
    <row r="874" spans="1:72" x14ac:dyDescent="0.15">
      <c r="A874" t="s">
        <v>12866</v>
      </c>
      <c r="B874" t="s">
        <v>13055</v>
      </c>
      <c r="C874" t="s">
        <v>74</v>
      </c>
      <c r="D874" t="s">
        <v>74</v>
      </c>
      <c r="E874" t="s">
        <v>12868</v>
      </c>
      <c r="F874" t="s">
        <v>13056</v>
      </c>
      <c r="G874" t="s">
        <v>74</v>
      </c>
      <c r="H874" t="s">
        <v>74</v>
      </c>
      <c r="I874" t="s">
        <v>13057</v>
      </c>
      <c r="J874" t="s">
        <v>12939</v>
      </c>
      <c r="K874" t="s">
        <v>12940</v>
      </c>
      <c r="L874" t="s">
        <v>74</v>
      </c>
      <c r="M874" t="s">
        <v>78</v>
      </c>
      <c r="N874" t="s">
        <v>12873</v>
      </c>
      <c r="O874" t="s">
        <v>12941</v>
      </c>
      <c r="P874" t="s">
        <v>12942</v>
      </c>
      <c r="Q874" t="s">
        <v>12943</v>
      </c>
      <c r="R874" t="s">
        <v>74</v>
      </c>
      <c r="S874" t="s">
        <v>74</v>
      </c>
      <c r="T874" t="s">
        <v>74</v>
      </c>
      <c r="U874" t="s">
        <v>74</v>
      </c>
      <c r="V874" t="s">
        <v>13058</v>
      </c>
      <c r="W874" t="s">
        <v>13059</v>
      </c>
      <c r="X874" t="s">
        <v>13022</v>
      </c>
      <c r="Y874" t="s">
        <v>13060</v>
      </c>
      <c r="Z874" t="s">
        <v>13024</v>
      </c>
      <c r="AA874" t="s">
        <v>13061</v>
      </c>
      <c r="AB874" t="s">
        <v>13026</v>
      </c>
      <c r="AC874" t="s">
        <v>74</v>
      </c>
      <c r="AD874" t="s">
        <v>74</v>
      </c>
      <c r="AE874" t="s">
        <v>74</v>
      </c>
      <c r="AF874" t="s">
        <v>74</v>
      </c>
      <c r="AG874">
        <v>10</v>
      </c>
      <c r="AH874">
        <v>1</v>
      </c>
      <c r="AI874">
        <v>1</v>
      </c>
      <c r="AJ874">
        <v>0</v>
      </c>
      <c r="AK874">
        <v>0</v>
      </c>
      <c r="AL874" t="s">
        <v>12868</v>
      </c>
      <c r="AM874" t="s">
        <v>476</v>
      </c>
      <c r="AN874" t="s">
        <v>12881</v>
      </c>
      <c r="AO874" t="s">
        <v>12951</v>
      </c>
      <c r="AP874" t="s">
        <v>74</v>
      </c>
      <c r="AQ874" t="s">
        <v>12952</v>
      </c>
      <c r="AR874" t="s">
        <v>12953</v>
      </c>
      <c r="AS874" t="s">
        <v>74</v>
      </c>
      <c r="AT874" t="s">
        <v>74</v>
      </c>
      <c r="AU874">
        <v>2006</v>
      </c>
      <c r="AV874" t="s">
        <v>74</v>
      </c>
      <c r="AW874" t="s">
        <v>74</v>
      </c>
      <c r="AX874" t="s">
        <v>74</v>
      </c>
      <c r="AY874" t="s">
        <v>74</v>
      </c>
      <c r="AZ874" t="s">
        <v>74</v>
      </c>
      <c r="BA874" t="s">
        <v>74</v>
      </c>
      <c r="BB874">
        <v>3980</v>
      </c>
      <c r="BC874">
        <v>3983</v>
      </c>
      <c r="BD874" t="s">
        <v>74</v>
      </c>
      <c r="BE874" t="s">
        <v>13062</v>
      </c>
      <c r="BF874" t="str">
        <f>HYPERLINK("http://dx.doi.org/10.1109/IGARSS.2006.1021","http://dx.doi.org/10.1109/IGARSS.2006.1021")</f>
        <v>http://dx.doi.org/10.1109/IGARSS.2006.1021</v>
      </c>
      <c r="BG874" t="s">
        <v>74</v>
      </c>
      <c r="BH874" t="s">
        <v>74</v>
      </c>
      <c r="BI874">
        <v>4</v>
      </c>
      <c r="BJ874" t="s">
        <v>12955</v>
      </c>
      <c r="BK874" t="s">
        <v>12886</v>
      </c>
      <c r="BL874" t="s">
        <v>12956</v>
      </c>
      <c r="BM874" t="s">
        <v>12957</v>
      </c>
      <c r="BN874" t="s">
        <v>74</v>
      </c>
      <c r="BO874" t="s">
        <v>74</v>
      </c>
      <c r="BP874" t="s">
        <v>74</v>
      </c>
      <c r="BQ874" t="s">
        <v>74</v>
      </c>
      <c r="BR874" t="s">
        <v>100</v>
      </c>
      <c r="BS874" t="s">
        <v>13063</v>
      </c>
      <c r="BT874" t="str">
        <f>HYPERLINK("https%3A%2F%2Fwww.webofscience.com%2Fwos%2Fwoscc%2Ffull-record%2FWOS:000260989402207","View Full Record in Web of Science")</f>
        <v>View Full Record in Web of Science</v>
      </c>
    </row>
    <row r="875" spans="1:72" x14ac:dyDescent="0.15">
      <c r="A875" t="s">
        <v>72</v>
      </c>
      <c r="B875" t="s">
        <v>13064</v>
      </c>
      <c r="C875" t="s">
        <v>74</v>
      </c>
      <c r="D875" t="s">
        <v>74</v>
      </c>
      <c r="E875" t="s">
        <v>74</v>
      </c>
      <c r="F875" t="s">
        <v>13064</v>
      </c>
      <c r="G875" t="s">
        <v>74</v>
      </c>
      <c r="H875" t="s">
        <v>74</v>
      </c>
      <c r="I875" t="s">
        <v>13065</v>
      </c>
      <c r="J875" t="s">
        <v>13066</v>
      </c>
      <c r="K875" t="s">
        <v>74</v>
      </c>
      <c r="L875" t="s">
        <v>74</v>
      </c>
      <c r="M875" t="s">
        <v>78</v>
      </c>
      <c r="N875" t="s">
        <v>79</v>
      </c>
      <c r="O875" t="s">
        <v>74</v>
      </c>
      <c r="P875" t="s">
        <v>74</v>
      </c>
      <c r="Q875" t="s">
        <v>74</v>
      </c>
      <c r="R875" t="s">
        <v>74</v>
      </c>
      <c r="S875" t="s">
        <v>74</v>
      </c>
      <c r="T875" t="s">
        <v>13067</v>
      </c>
      <c r="U875" t="s">
        <v>13068</v>
      </c>
      <c r="V875" t="s">
        <v>13069</v>
      </c>
      <c r="W875" t="s">
        <v>13070</v>
      </c>
      <c r="X875" t="s">
        <v>13071</v>
      </c>
      <c r="Y875" t="s">
        <v>13072</v>
      </c>
      <c r="Z875" t="s">
        <v>13073</v>
      </c>
      <c r="AA875" t="s">
        <v>955</v>
      </c>
      <c r="AB875" t="s">
        <v>74</v>
      </c>
      <c r="AC875" t="s">
        <v>74</v>
      </c>
      <c r="AD875" t="s">
        <v>74</v>
      </c>
      <c r="AE875" t="s">
        <v>74</v>
      </c>
      <c r="AF875" t="s">
        <v>74</v>
      </c>
      <c r="AG875">
        <v>21</v>
      </c>
      <c r="AH875">
        <v>3</v>
      </c>
      <c r="AI875">
        <v>8</v>
      </c>
      <c r="AJ875">
        <v>0</v>
      </c>
      <c r="AK875">
        <v>2</v>
      </c>
      <c r="AL875" t="s">
        <v>994</v>
      </c>
      <c r="AM875" t="s">
        <v>476</v>
      </c>
      <c r="AN875" t="s">
        <v>1519</v>
      </c>
      <c r="AO875" t="s">
        <v>13074</v>
      </c>
      <c r="AP875" t="s">
        <v>13075</v>
      </c>
      <c r="AQ875" t="s">
        <v>74</v>
      </c>
      <c r="AR875" t="s">
        <v>13076</v>
      </c>
      <c r="AS875" t="s">
        <v>13077</v>
      </c>
      <c r="AT875" t="s">
        <v>74</v>
      </c>
      <c r="AU875">
        <v>2006</v>
      </c>
      <c r="AV875">
        <v>25</v>
      </c>
      <c r="AW875">
        <v>2</v>
      </c>
      <c r="AX875" t="s">
        <v>74</v>
      </c>
      <c r="AY875" t="s">
        <v>74</v>
      </c>
      <c r="AZ875" t="s">
        <v>74</v>
      </c>
      <c r="BA875" t="s">
        <v>74</v>
      </c>
      <c r="BB875">
        <v>1</v>
      </c>
      <c r="BC875">
        <v>24</v>
      </c>
      <c r="BD875" t="s">
        <v>74</v>
      </c>
      <c r="BE875" t="s">
        <v>74</v>
      </c>
      <c r="BF875" t="s">
        <v>74</v>
      </c>
      <c r="BG875" t="s">
        <v>74</v>
      </c>
      <c r="BH875" t="s">
        <v>74</v>
      </c>
      <c r="BI875">
        <v>24</v>
      </c>
      <c r="BJ875" t="s">
        <v>1069</v>
      </c>
      <c r="BK875" t="s">
        <v>97</v>
      </c>
      <c r="BL875" t="s">
        <v>1069</v>
      </c>
      <c r="BM875" t="s">
        <v>13078</v>
      </c>
      <c r="BN875" t="s">
        <v>74</v>
      </c>
      <c r="BO875" t="s">
        <v>74</v>
      </c>
      <c r="BP875" t="s">
        <v>74</v>
      </c>
      <c r="BQ875" t="s">
        <v>74</v>
      </c>
      <c r="BR875" t="s">
        <v>100</v>
      </c>
      <c r="BS875" t="s">
        <v>13079</v>
      </c>
      <c r="BT875" t="str">
        <f>HYPERLINK("https%3A%2F%2Fwww.webofscience.com%2Fwos%2Fwoscc%2Ffull-record%2FWOS:000237478200001","View Full Record in Web of Science")</f>
        <v>View Full Record in Web of Science</v>
      </c>
    </row>
    <row r="876" spans="1:72" x14ac:dyDescent="0.15">
      <c r="A876" t="s">
        <v>72</v>
      </c>
      <c r="B876" t="s">
        <v>13080</v>
      </c>
      <c r="C876" t="s">
        <v>74</v>
      </c>
      <c r="D876" t="s">
        <v>74</v>
      </c>
      <c r="E876" t="s">
        <v>74</v>
      </c>
      <c r="F876" t="s">
        <v>13081</v>
      </c>
      <c r="G876" t="s">
        <v>74</v>
      </c>
      <c r="H876" t="s">
        <v>74</v>
      </c>
      <c r="I876" t="s">
        <v>13082</v>
      </c>
      <c r="J876" t="s">
        <v>13066</v>
      </c>
      <c r="K876" t="s">
        <v>74</v>
      </c>
      <c r="L876" t="s">
        <v>74</v>
      </c>
      <c r="M876" t="s">
        <v>78</v>
      </c>
      <c r="N876" t="s">
        <v>79</v>
      </c>
      <c r="O876" t="s">
        <v>74</v>
      </c>
      <c r="P876" t="s">
        <v>74</v>
      </c>
      <c r="Q876" t="s">
        <v>74</v>
      </c>
      <c r="R876" t="s">
        <v>74</v>
      </c>
      <c r="S876" t="s">
        <v>74</v>
      </c>
      <c r="T876" t="s">
        <v>13083</v>
      </c>
      <c r="U876" t="s">
        <v>13084</v>
      </c>
      <c r="V876" t="s">
        <v>13085</v>
      </c>
      <c r="W876" t="s">
        <v>13086</v>
      </c>
      <c r="X876" t="s">
        <v>13087</v>
      </c>
      <c r="Y876" t="s">
        <v>13088</v>
      </c>
      <c r="Z876" t="s">
        <v>13089</v>
      </c>
      <c r="AA876" t="s">
        <v>13090</v>
      </c>
      <c r="AB876" t="s">
        <v>13091</v>
      </c>
      <c r="AC876" t="s">
        <v>74</v>
      </c>
      <c r="AD876" t="s">
        <v>74</v>
      </c>
      <c r="AE876" t="s">
        <v>74</v>
      </c>
      <c r="AF876" t="s">
        <v>74</v>
      </c>
      <c r="AG876">
        <v>31</v>
      </c>
      <c r="AH876">
        <v>1</v>
      </c>
      <c r="AI876">
        <v>5</v>
      </c>
      <c r="AJ876">
        <v>0</v>
      </c>
      <c r="AK876">
        <v>6</v>
      </c>
      <c r="AL876" t="s">
        <v>994</v>
      </c>
      <c r="AM876" t="s">
        <v>476</v>
      </c>
      <c r="AN876" t="s">
        <v>1551</v>
      </c>
      <c r="AO876" t="s">
        <v>13074</v>
      </c>
      <c r="AP876" t="s">
        <v>13075</v>
      </c>
      <c r="AQ876" t="s">
        <v>74</v>
      </c>
      <c r="AR876" t="s">
        <v>13076</v>
      </c>
      <c r="AS876" t="s">
        <v>13077</v>
      </c>
      <c r="AT876" t="s">
        <v>74</v>
      </c>
      <c r="AU876">
        <v>2006</v>
      </c>
      <c r="AV876">
        <v>25</v>
      </c>
      <c r="AW876">
        <v>6</v>
      </c>
      <c r="AX876" t="s">
        <v>74</v>
      </c>
      <c r="AY876" t="s">
        <v>74</v>
      </c>
      <c r="AZ876" t="s">
        <v>74</v>
      </c>
      <c r="BA876" t="s">
        <v>74</v>
      </c>
      <c r="BB876">
        <v>1</v>
      </c>
      <c r="BC876">
        <v>14</v>
      </c>
      <c r="BD876" t="s">
        <v>74</v>
      </c>
      <c r="BE876" t="s">
        <v>74</v>
      </c>
      <c r="BF876" t="s">
        <v>74</v>
      </c>
      <c r="BG876" t="s">
        <v>74</v>
      </c>
      <c r="BH876" t="s">
        <v>74</v>
      </c>
      <c r="BI876">
        <v>14</v>
      </c>
      <c r="BJ876" t="s">
        <v>1069</v>
      </c>
      <c r="BK876" t="s">
        <v>97</v>
      </c>
      <c r="BL876" t="s">
        <v>1069</v>
      </c>
      <c r="BM876" t="s">
        <v>13092</v>
      </c>
      <c r="BN876" t="s">
        <v>74</v>
      </c>
      <c r="BO876" t="s">
        <v>74</v>
      </c>
      <c r="BP876" t="s">
        <v>74</v>
      </c>
      <c r="BQ876" t="s">
        <v>74</v>
      </c>
      <c r="BR876" t="s">
        <v>100</v>
      </c>
      <c r="BS876" t="s">
        <v>13093</v>
      </c>
      <c r="BT876" t="str">
        <f>HYPERLINK("https%3A%2F%2Fwww.webofscience.com%2Fwos%2Fwoscc%2Ffull-record%2FWOS:000243201300001","View Full Record in Web of Science")</f>
        <v>View Full Record in Web of Science</v>
      </c>
    </row>
    <row r="877" spans="1:72" x14ac:dyDescent="0.15">
      <c r="A877" t="s">
        <v>72</v>
      </c>
      <c r="B877" t="s">
        <v>13094</v>
      </c>
      <c r="C877" t="s">
        <v>74</v>
      </c>
      <c r="D877" t="s">
        <v>74</v>
      </c>
      <c r="E877" t="s">
        <v>74</v>
      </c>
      <c r="F877" t="s">
        <v>13095</v>
      </c>
      <c r="G877" t="s">
        <v>74</v>
      </c>
      <c r="H877" t="s">
        <v>74</v>
      </c>
      <c r="I877" t="s">
        <v>13096</v>
      </c>
      <c r="J877" t="s">
        <v>13066</v>
      </c>
      <c r="K877" t="s">
        <v>74</v>
      </c>
      <c r="L877" t="s">
        <v>74</v>
      </c>
      <c r="M877" t="s">
        <v>78</v>
      </c>
      <c r="N877" t="s">
        <v>79</v>
      </c>
      <c r="O877" t="s">
        <v>74</v>
      </c>
      <c r="P877" t="s">
        <v>74</v>
      </c>
      <c r="Q877" t="s">
        <v>74</v>
      </c>
      <c r="R877" t="s">
        <v>74</v>
      </c>
      <c r="S877" t="s">
        <v>74</v>
      </c>
      <c r="T877" t="s">
        <v>13097</v>
      </c>
      <c r="U877" t="s">
        <v>13098</v>
      </c>
      <c r="V877" t="s">
        <v>13099</v>
      </c>
      <c r="W877" t="s">
        <v>13100</v>
      </c>
      <c r="X877" t="s">
        <v>13101</v>
      </c>
      <c r="Y877" t="s">
        <v>13102</v>
      </c>
      <c r="Z877" t="s">
        <v>13103</v>
      </c>
      <c r="AA877" t="s">
        <v>74</v>
      </c>
      <c r="AB877" t="s">
        <v>74</v>
      </c>
      <c r="AC877" t="s">
        <v>74</v>
      </c>
      <c r="AD877" t="s">
        <v>74</v>
      </c>
      <c r="AE877" t="s">
        <v>74</v>
      </c>
      <c r="AF877" t="s">
        <v>74</v>
      </c>
      <c r="AG877">
        <v>28</v>
      </c>
      <c r="AH877">
        <v>5</v>
      </c>
      <c r="AI877">
        <v>5</v>
      </c>
      <c r="AJ877">
        <v>1</v>
      </c>
      <c r="AK877">
        <v>8</v>
      </c>
      <c r="AL877" t="s">
        <v>994</v>
      </c>
      <c r="AM877" t="s">
        <v>476</v>
      </c>
      <c r="AN877" t="s">
        <v>1551</v>
      </c>
      <c r="AO877" t="s">
        <v>13074</v>
      </c>
      <c r="AP877" t="s">
        <v>13075</v>
      </c>
      <c r="AQ877" t="s">
        <v>74</v>
      </c>
      <c r="AR877" t="s">
        <v>13076</v>
      </c>
      <c r="AS877" t="s">
        <v>13077</v>
      </c>
      <c r="AT877" t="s">
        <v>74</v>
      </c>
      <c r="AU877">
        <v>2006</v>
      </c>
      <c r="AV877">
        <v>25</v>
      </c>
      <c r="AW877">
        <v>6</v>
      </c>
      <c r="AX877" t="s">
        <v>74</v>
      </c>
      <c r="AY877" t="s">
        <v>74</v>
      </c>
      <c r="AZ877" t="s">
        <v>74</v>
      </c>
      <c r="BA877" t="s">
        <v>74</v>
      </c>
      <c r="BB877">
        <v>106</v>
      </c>
      <c r="BC877">
        <v>115</v>
      </c>
      <c r="BD877" t="s">
        <v>74</v>
      </c>
      <c r="BE877" t="s">
        <v>74</v>
      </c>
      <c r="BF877" t="s">
        <v>74</v>
      </c>
      <c r="BG877" t="s">
        <v>74</v>
      </c>
      <c r="BH877" t="s">
        <v>74</v>
      </c>
      <c r="BI877">
        <v>10</v>
      </c>
      <c r="BJ877" t="s">
        <v>1069</v>
      </c>
      <c r="BK877" t="s">
        <v>97</v>
      </c>
      <c r="BL877" t="s">
        <v>1069</v>
      </c>
      <c r="BM877" t="s">
        <v>13092</v>
      </c>
      <c r="BN877" t="s">
        <v>74</v>
      </c>
      <c r="BO877" t="s">
        <v>74</v>
      </c>
      <c r="BP877" t="s">
        <v>74</v>
      </c>
      <c r="BQ877" t="s">
        <v>74</v>
      </c>
      <c r="BR877" t="s">
        <v>100</v>
      </c>
      <c r="BS877" t="s">
        <v>13104</v>
      </c>
      <c r="BT877" t="str">
        <f>HYPERLINK("https%3A%2F%2Fwww.webofscience.com%2Fwos%2Fwoscc%2Ffull-record%2FWOS:000243201300011","View Full Record in Web of Science")</f>
        <v>View Full Record in Web of Science</v>
      </c>
    </row>
    <row r="878" spans="1:72" x14ac:dyDescent="0.15">
      <c r="A878" t="s">
        <v>72</v>
      </c>
      <c r="B878" t="s">
        <v>13105</v>
      </c>
      <c r="C878" t="s">
        <v>74</v>
      </c>
      <c r="D878" t="s">
        <v>74</v>
      </c>
      <c r="E878" t="s">
        <v>74</v>
      </c>
      <c r="F878" t="s">
        <v>13105</v>
      </c>
      <c r="G878" t="s">
        <v>74</v>
      </c>
      <c r="H878" t="s">
        <v>74</v>
      </c>
      <c r="I878" t="s">
        <v>13106</v>
      </c>
      <c r="J878" t="s">
        <v>13066</v>
      </c>
      <c r="K878" t="s">
        <v>74</v>
      </c>
      <c r="L878" t="s">
        <v>74</v>
      </c>
      <c r="M878" t="s">
        <v>78</v>
      </c>
      <c r="N878" t="s">
        <v>79</v>
      </c>
      <c r="O878" t="s">
        <v>74</v>
      </c>
      <c r="P878" t="s">
        <v>74</v>
      </c>
      <c r="Q878" t="s">
        <v>74</v>
      </c>
      <c r="R878" t="s">
        <v>74</v>
      </c>
      <c r="S878" t="s">
        <v>74</v>
      </c>
      <c r="T878" t="s">
        <v>13107</v>
      </c>
      <c r="U878" t="s">
        <v>13108</v>
      </c>
      <c r="V878" t="s">
        <v>13109</v>
      </c>
      <c r="W878" t="s">
        <v>13110</v>
      </c>
      <c r="X878" t="s">
        <v>952</v>
      </c>
      <c r="Y878" t="s">
        <v>13111</v>
      </c>
      <c r="Z878" t="s">
        <v>954</v>
      </c>
      <c r="AA878" t="s">
        <v>74</v>
      </c>
      <c r="AB878" t="s">
        <v>74</v>
      </c>
      <c r="AC878" t="s">
        <v>74</v>
      </c>
      <c r="AD878" t="s">
        <v>74</v>
      </c>
      <c r="AE878" t="s">
        <v>74</v>
      </c>
      <c r="AF878" t="s">
        <v>74</v>
      </c>
      <c r="AG878">
        <v>33</v>
      </c>
      <c r="AH878">
        <v>3</v>
      </c>
      <c r="AI878">
        <v>5</v>
      </c>
      <c r="AJ878">
        <v>0</v>
      </c>
      <c r="AK878">
        <v>3</v>
      </c>
      <c r="AL878" t="s">
        <v>994</v>
      </c>
      <c r="AM878" t="s">
        <v>476</v>
      </c>
      <c r="AN878" t="s">
        <v>1551</v>
      </c>
      <c r="AO878" t="s">
        <v>13074</v>
      </c>
      <c r="AP878" t="s">
        <v>13075</v>
      </c>
      <c r="AQ878" t="s">
        <v>74</v>
      </c>
      <c r="AR878" t="s">
        <v>13076</v>
      </c>
      <c r="AS878" t="s">
        <v>13077</v>
      </c>
      <c r="AT878" t="s">
        <v>74</v>
      </c>
      <c r="AU878">
        <v>2006</v>
      </c>
      <c r="AV878">
        <v>25</v>
      </c>
      <c r="AW878">
        <v>2</v>
      </c>
      <c r="AX878" t="s">
        <v>74</v>
      </c>
      <c r="AY878" t="s">
        <v>74</v>
      </c>
      <c r="AZ878" t="s">
        <v>74</v>
      </c>
      <c r="BA878" t="s">
        <v>74</v>
      </c>
      <c r="BB878">
        <v>135</v>
      </c>
      <c r="BC878">
        <v>141</v>
      </c>
      <c r="BD878" t="s">
        <v>74</v>
      </c>
      <c r="BE878" t="s">
        <v>74</v>
      </c>
      <c r="BF878" t="s">
        <v>74</v>
      </c>
      <c r="BG878" t="s">
        <v>74</v>
      </c>
      <c r="BH878" t="s">
        <v>74</v>
      </c>
      <c r="BI878">
        <v>7</v>
      </c>
      <c r="BJ878" t="s">
        <v>1069</v>
      </c>
      <c r="BK878" t="s">
        <v>97</v>
      </c>
      <c r="BL878" t="s">
        <v>1069</v>
      </c>
      <c r="BM878" t="s">
        <v>13078</v>
      </c>
      <c r="BN878" t="s">
        <v>74</v>
      </c>
      <c r="BO878" t="s">
        <v>74</v>
      </c>
      <c r="BP878" t="s">
        <v>74</v>
      </c>
      <c r="BQ878" t="s">
        <v>74</v>
      </c>
      <c r="BR878" t="s">
        <v>100</v>
      </c>
      <c r="BS878" t="s">
        <v>13112</v>
      </c>
      <c r="BT878" t="str">
        <f>HYPERLINK("https%3A%2F%2Fwww.webofscience.com%2Fwos%2Fwoscc%2Ffull-record%2FWOS:000237478200013","View Full Record in Web of Science")</f>
        <v>View Full Record in Web of Science</v>
      </c>
    </row>
    <row r="879" spans="1:72" x14ac:dyDescent="0.15">
      <c r="A879" t="s">
        <v>652</v>
      </c>
      <c r="B879" t="s">
        <v>13113</v>
      </c>
      <c r="C879" t="s">
        <v>74</v>
      </c>
      <c r="D879" t="s">
        <v>13114</v>
      </c>
      <c r="E879" t="s">
        <v>74</v>
      </c>
      <c r="F879" t="s">
        <v>13115</v>
      </c>
      <c r="G879" t="s">
        <v>74</v>
      </c>
      <c r="H879" t="s">
        <v>74</v>
      </c>
      <c r="I879" t="s">
        <v>13116</v>
      </c>
      <c r="J879" t="s">
        <v>13117</v>
      </c>
      <c r="K879" t="s">
        <v>13118</v>
      </c>
      <c r="L879" t="s">
        <v>74</v>
      </c>
      <c r="M879" t="s">
        <v>78</v>
      </c>
      <c r="N879" t="s">
        <v>13119</v>
      </c>
      <c r="O879" t="s">
        <v>74</v>
      </c>
      <c r="P879" t="s">
        <v>74</v>
      </c>
      <c r="Q879" t="s">
        <v>74</v>
      </c>
      <c r="R879" t="s">
        <v>74</v>
      </c>
      <c r="S879" t="s">
        <v>74</v>
      </c>
      <c r="T879" t="s">
        <v>74</v>
      </c>
      <c r="U879" t="s">
        <v>13120</v>
      </c>
      <c r="V879" t="s">
        <v>13121</v>
      </c>
      <c r="W879" t="s">
        <v>2646</v>
      </c>
      <c r="X879" t="s">
        <v>407</v>
      </c>
      <c r="Y879" t="s">
        <v>13122</v>
      </c>
      <c r="Z879" t="s">
        <v>74</v>
      </c>
      <c r="AA879" t="s">
        <v>13123</v>
      </c>
      <c r="AB879" t="s">
        <v>13124</v>
      </c>
      <c r="AC879" t="s">
        <v>13125</v>
      </c>
      <c r="AD879" t="s">
        <v>2873</v>
      </c>
      <c r="AE879" t="s">
        <v>74</v>
      </c>
      <c r="AF879" t="s">
        <v>74</v>
      </c>
      <c r="AG879">
        <v>275</v>
      </c>
      <c r="AH879">
        <v>86</v>
      </c>
      <c r="AI879">
        <v>94</v>
      </c>
      <c r="AJ879">
        <v>0</v>
      </c>
      <c r="AK879">
        <v>34</v>
      </c>
      <c r="AL879" t="s">
        <v>13126</v>
      </c>
      <c r="AM879" t="s">
        <v>557</v>
      </c>
      <c r="AN879" t="s">
        <v>13127</v>
      </c>
      <c r="AO879" t="s">
        <v>13128</v>
      </c>
      <c r="AP879" t="s">
        <v>74</v>
      </c>
      <c r="AQ879" t="s">
        <v>13129</v>
      </c>
      <c r="AR879" t="s">
        <v>13130</v>
      </c>
      <c r="AS879" t="s">
        <v>13131</v>
      </c>
      <c r="AT879" t="s">
        <v>74</v>
      </c>
      <c r="AU879">
        <v>2006</v>
      </c>
      <c r="AV879">
        <v>50</v>
      </c>
      <c r="AW879" t="s">
        <v>74</v>
      </c>
      <c r="AX879" t="s">
        <v>74</v>
      </c>
      <c r="AY879" t="s">
        <v>74</v>
      </c>
      <c r="AZ879" t="s">
        <v>74</v>
      </c>
      <c r="BA879" t="s">
        <v>74</v>
      </c>
      <c r="BB879">
        <v>191</v>
      </c>
      <c r="BC879">
        <v>265</v>
      </c>
      <c r="BD879" t="s">
        <v>74</v>
      </c>
      <c r="BE879" t="s">
        <v>13132</v>
      </c>
      <c r="BF879" t="str">
        <f>HYPERLINK("http://dx.doi.org/10.1016/S0065-2881(05)50003-8","http://dx.doi.org/10.1016/S0065-2881(05)50003-8")</f>
        <v>http://dx.doi.org/10.1016/S0065-2881(05)50003-8</v>
      </c>
      <c r="BG879" t="s">
        <v>74</v>
      </c>
      <c r="BH879" t="s">
        <v>74</v>
      </c>
      <c r="BI879">
        <v>75</v>
      </c>
      <c r="BJ879" t="s">
        <v>1146</v>
      </c>
      <c r="BK879" t="s">
        <v>13133</v>
      </c>
      <c r="BL879" t="s">
        <v>1146</v>
      </c>
      <c r="BM879" t="s">
        <v>13134</v>
      </c>
      <c r="BN879">
        <v>16782452</v>
      </c>
      <c r="BO879" t="s">
        <v>74</v>
      </c>
      <c r="BP879" t="s">
        <v>74</v>
      </c>
      <c r="BQ879" t="s">
        <v>74</v>
      </c>
      <c r="BR879" t="s">
        <v>100</v>
      </c>
      <c r="BS879" t="s">
        <v>13135</v>
      </c>
      <c r="BT879" t="str">
        <f>HYPERLINK("https%3A%2F%2Fwww.webofscience.com%2Fwos%2Fwoscc%2Ffull-record%2FWOS:000238223900003","View Full Record in Web of Science")</f>
        <v>View Full Record in Web of Science</v>
      </c>
    </row>
    <row r="880" spans="1:72" x14ac:dyDescent="0.15">
      <c r="A880" t="s">
        <v>652</v>
      </c>
      <c r="B880" t="s">
        <v>13136</v>
      </c>
      <c r="C880" t="s">
        <v>74</v>
      </c>
      <c r="D880" t="s">
        <v>13137</v>
      </c>
      <c r="E880" t="s">
        <v>74</v>
      </c>
      <c r="F880" t="s">
        <v>13138</v>
      </c>
      <c r="G880" t="s">
        <v>74</v>
      </c>
      <c r="H880" t="s">
        <v>74</v>
      </c>
      <c r="I880" t="s">
        <v>13139</v>
      </c>
      <c r="J880" t="s">
        <v>13140</v>
      </c>
      <c r="K880" t="s">
        <v>13118</v>
      </c>
      <c r="L880" t="s">
        <v>74</v>
      </c>
      <c r="M880" t="s">
        <v>78</v>
      </c>
      <c r="N880" t="s">
        <v>13119</v>
      </c>
      <c r="O880" t="s">
        <v>74</v>
      </c>
      <c r="P880" t="s">
        <v>74</v>
      </c>
      <c r="Q880" t="s">
        <v>74</v>
      </c>
      <c r="R880" t="s">
        <v>74</v>
      </c>
      <c r="S880" t="s">
        <v>74</v>
      </c>
      <c r="T880" t="s">
        <v>74</v>
      </c>
      <c r="U880" t="s">
        <v>13141</v>
      </c>
      <c r="V880" t="s">
        <v>13142</v>
      </c>
      <c r="W880" t="s">
        <v>13143</v>
      </c>
      <c r="X880" t="s">
        <v>13144</v>
      </c>
      <c r="Y880" t="s">
        <v>13145</v>
      </c>
      <c r="Z880" t="s">
        <v>74</v>
      </c>
      <c r="AA880" t="s">
        <v>74</v>
      </c>
      <c r="AB880" t="s">
        <v>9527</v>
      </c>
      <c r="AC880" t="s">
        <v>74</v>
      </c>
      <c r="AD880" t="s">
        <v>74</v>
      </c>
      <c r="AE880" t="s">
        <v>74</v>
      </c>
      <c r="AF880" t="s">
        <v>74</v>
      </c>
      <c r="AG880">
        <v>358</v>
      </c>
      <c r="AH880">
        <v>65</v>
      </c>
      <c r="AI880">
        <v>69</v>
      </c>
      <c r="AJ880">
        <v>3</v>
      </c>
      <c r="AK880">
        <v>75</v>
      </c>
      <c r="AL880" t="s">
        <v>13126</v>
      </c>
      <c r="AM880" t="s">
        <v>557</v>
      </c>
      <c r="AN880" t="s">
        <v>13127</v>
      </c>
      <c r="AO880" t="s">
        <v>13128</v>
      </c>
      <c r="AP880" t="s">
        <v>74</v>
      </c>
      <c r="AQ880" t="s">
        <v>13146</v>
      </c>
      <c r="AR880" t="s">
        <v>13130</v>
      </c>
      <c r="AS880" t="s">
        <v>13131</v>
      </c>
      <c r="AT880" t="s">
        <v>74</v>
      </c>
      <c r="AU880">
        <v>2006</v>
      </c>
      <c r="AV880">
        <v>51</v>
      </c>
      <c r="AW880" t="s">
        <v>74</v>
      </c>
      <c r="AX880" t="s">
        <v>74</v>
      </c>
      <c r="AY880" t="s">
        <v>74</v>
      </c>
      <c r="AZ880" t="s">
        <v>74</v>
      </c>
      <c r="BA880" t="s">
        <v>74</v>
      </c>
      <c r="BB880">
        <v>197</v>
      </c>
      <c r="BC880">
        <v>315</v>
      </c>
      <c r="BD880" t="s">
        <v>74</v>
      </c>
      <c r="BE880" t="s">
        <v>13147</v>
      </c>
      <c r="BF880" t="str">
        <f>HYPERLINK("http://dx.doi.org/10.1016/S0065-2881(06)51004-1","http://dx.doi.org/10.1016/S0065-2881(06)51004-1")</f>
        <v>http://dx.doi.org/10.1016/S0065-2881(06)51004-1</v>
      </c>
      <c r="BG880" t="s">
        <v>74</v>
      </c>
      <c r="BH880" t="s">
        <v>74</v>
      </c>
      <c r="BI880">
        <v>119</v>
      </c>
      <c r="BJ880" t="s">
        <v>1146</v>
      </c>
      <c r="BK880" t="s">
        <v>13133</v>
      </c>
      <c r="BL880" t="s">
        <v>1146</v>
      </c>
      <c r="BM880" t="s">
        <v>13148</v>
      </c>
      <c r="BN880">
        <v>16905428</v>
      </c>
      <c r="BO880" t="s">
        <v>99</v>
      </c>
      <c r="BP880" t="s">
        <v>74</v>
      </c>
      <c r="BQ880" t="s">
        <v>74</v>
      </c>
      <c r="BR880" t="s">
        <v>100</v>
      </c>
      <c r="BS880" t="s">
        <v>13149</v>
      </c>
      <c r="BT880" t="str">
        <f>HYPERLINK("https%3A%2F%2Fwww.webofscience.com%2Fwos%2Fwoscc%2Ffull-record%2FWOS:000241525000004","View Full Record in Web of Science")</f>
        <v>View Full Record in Web of Science</v>
      </c>
    </row>
    <row r="881" spans="1:72" x14ac:dyDescent="0.15">
      <c r="A881" t="s">
        <v>72</v>
      </c>
      <c r="B881" t="s">
        <v>13150</v>
      </c>
      <c r="C881" t="s">
        <v>74</v>
      </c>
      <c r="D881" t="s">
        <v>74</v>
      </c>
      <c r="E881" t="s">
        <v>74</v>
      </c>
      <c r="F881" t="s">
        <v>13151</v>
      </c>
      <c r="G881" t="s">
        <v>74</v>
      </c>
      <c r="H881" t="s">
        <v>74</v>
      </c>
      <c r="I881" t="s">
        <v>13152</v>
      </c>
      <c r="J881" t="s">
        <v>13153</v>
      </c>
      <c r="K881" t="s">
        <v>74</v>
      </c>
      <c r="L881" t="s">
        <v>74</v>
      </c>
      <c r="M881" t="s">
        <v>78</v>
      </c>
      <c r="N881" t="s">
        <v>79</v>
      </c>
      <c r="O881" t="s">
        <v>74</v>
      </c>
      <c r="P881" t="s">
        <v>74</v>
      </c>
      <c r="Q881" t="s">
        <v>74</v>
      </c>
      <c r="R881" t="s">
        <v>74</v>
      </c>
      <c r="S881" t="s">
        <v>74</v>
      </c>
      <c r="T881" t="s">
        <v>13154</v>
      </c>
      <c r="U881" t="s">
        <v>13155</v>
      </c>
      <c r="V881" t="s">
        <v>13156</v>
      </c>
      <c r="W881" t="s">
        <v>13157</v>
      </c>
      <c r="X881" t="s">
        <v>1626</v>
      </c>
      <c r="Y881" t="s">
        <v>13158</v>
      </c>
      <c r="Z881" t="s">
        <v>13159</v>
      </c>
      <c r="AA881" t="s">
        <v>74</v>
      </c>
      <c r="AB881" t="s">
        <v>74</v>
      </c>
      <c r="AC881" t="s">
        <v>74</v>
      </c>
      <c r="AD881" t="s">
        <v>74</v>
      </c>
      <c r="AE881" t="s">
        <v>74</v>
      </c>
      <c r="AF881" t="s">
        <v>74</v>
      </c>
      <c r="AG881">
        <v>10</v>
      </c>
      <c r="AH881">
        <v>17</v>
      </c>
      <c r="AI881">
        <v>19</v>
      </c>
      <c r="AJ881">
        <v>1</v>
      </c>
      <c r="AK881">
        <v>2</v>
      </c>
      <c r="AL881" t="s">
        <v>2630</v>
      </c>
      <c r="AM881" t="s">
        <v>388</v>
      </c>
      <c r="AN881" t="s">
        <v>2631</v>
      </c>
      <c r="AO881" t="s">
        <v>13160</v>
      </c>
      <c r="AP881" t="s">
        <v>13161</v>
      </c>
      <c r="AQ881" t="s">
        <v>74</v>
      </c>
      <c r="AR881" t="s">
        <v>13162</v>
      </c>
      <c r="AS881" t="s">
        <v>13163</v>
      </c>
      <c r="AT881" t="s">
        <v>74</v>
      </c>
      <c r="AU881">
        <v>2006</v>
      </c>
      <c r="AV881">
        <v>38</v>
      </c>
      <c r="AW881">
        <v>4</v>
      </c>
      <c r="AX881" t="s">
        <v>74</v>
      </c>
      <c r="AY881" t="s">
        <v>74</v>
      </c>
      <c r="AZ881" t="s">
        <v>74</v>
      </c>
      <c r="BA881" t="s">
        <v>74</v>
      </c>
      <c r="BB881">
        <v>696</v>
      </c>
      <c r="BC881">
        <v>700</v>
      </c>
      <c r="BD881" t="s">
        <v>74</v>
      </c>
      <c r="BE881" t="s">
        <v>13164</v>
      </c>
      <c r="BF881" t="str">
        <f>HYPERLINK("http://dx.doi.org/10.1016/j.asr.2005.07.070","http://dx.doi.org/10.1016/j.asr.2005.07.070")</f>
        <v>http://dx.doi.org/10.1016/j.asr.2005.07.070</v>
      </c>
      <c r="BG881" t="s">
        <v>74</v>
      </c>
      <c r="BH881" t="s">
        <v>74</v>
      </c>
      <c r="BI881">
        <v>5</v>
      </c>
      <c r="BJ881" t="s">
        <v>13165</v>
      </c>
      <c r="BK881" t="s">
        <v>97</v>
      </c>
      <c r="BL881" t="s">
        <v>13166</v>
      </c>
      <c r="BM881" t="s">
        <v>13167</v>
      </c>
      <c r="BN881" t="s">
        <v>74</v>
      </c>
      <c r="BO881" t="s">
        <v>74</v>
      </c>
      <c r="BP881" t="s">
        <v>74</v>
      </c>
      <c r="BQ881" t="s">
        <v>74</v>
      </c>
      <c r="BR881" t="s">
        <v>100</v>
      </c>
      <c r="BS881" t="s">
        <v>13168</v>
      </c>
      <c r="BT881" t="str">
        <f>HYPERLINK("https%3A%2F%2Fwww.webofscience.com%2Fwos%2Fwoscc%2Ffull-record%2FWOS:000202988100022","View Full Record in Web of Science")</f>
        <v>View Full Record in Web of Science</v>
      </c>
    </row>
    <row r="882" spans="1:72" x14ac:dyDescent="0.15">
      <c r="A882" t="s">
        <v>72</v>
      </c>
      <c r="B882" t="s">
        <v>13169</v>
      </c>
      <c r="C882" t="s">
        <v>74</v>
      </c>
      <c r="D882" t="s">
        <v>74</v>
      </c>
      <c r="E882" t="s">
        <v>74</v>
      </c>
      <c r="F882" t="s">
        <v>13170</v>
      </c>
      <c r="G882" t="s">
        <v>74</v>
      </c>
      <c r="H882" t="s">
        <v>74</v>
      </c>
      <c r="I882" t="s">
        <v>13171</v>
      </c>
      <c r="J882" t="s">
        <v>13153</v>
      </c>
      <c r="K882" t="s">
        <v>74</v>
      </c>
      <c r="L882" t="s">
        <v>74</v>
      </c>
      <c r="M882" t="s">
        <v>78</v>
      </c>
      <c r="N882" t="s">
        <v>79</v>
      </c>
      <c r="O882" t="s">
        <v>74</v>
      </c>
      <c r="P882" t="s">
        <v>74</v>
      </c>
      <c r="Q882" t="s">
        <v>74</v>
      </c>
      <c r="R882" t="s">
        <v>74</v>
      </c>
      <c r="S882" t="s">
        <v>74</v>
      </c>
      <c r="T882" t="s">
        <v>13172</v>
      </c>
      <c r="U882" t="s">
        <v>13173</v>
      </c>
      <c r="V882" t="s">
        <v>13174</v>
      </c>
      <c r="W882" t="s">
        <v>13175</v>
      </c>
      <c r="X882" t="s">
        <v>13176</v>
      </c>
      <c r="Y882" t="s">
        <v>13177</v>
      </c>
      <c r="Z882" t="s">
        <v>13178</v>
      </c>
      <c r="AA882" t="s">
        <v>13179</v>
      </c>
      <c r="AB882" t="s">
        <v>13180</v>
      </c>
      <c r="AC882" t="s">
        <v>74</v>
      </c>
      <c r="AD882" t="s">
        <v>74</v>
      </c>
      <c r="AE882" t="s">
        <v>74</v>
      </c>
      <c r="AF882" t="s">
        <v>74</v>
      </c>
      <c r="AG882">
        <v>43</v>
      </c>
      <c r="AH882">
        <v>17</v>
      </c>
      <c r="AI882">
        <v>18</v>
      </c>
      <c r="AJ882">
        <v>0</v>
      </c>
      <c r="AK882">
        <v>2</v>
      </c>
      <c r="AL882" t="s">
        <v>2630</v>
      </c>
      <c r="AM882" t="s">
        <v>388</v>
      </c>
      <c r="AN882" t="s">
        <v>2631</v>
      </c>
      <c r="AO882" t="s">
        <v>13160</v>
      </c>
      <c r="AP882" t="s">
        <v>13161</v>
      </c>
      <c r="AQ882" t="s">
        <v>74</v>
      </c>
      <c r="AR882" t="s">
        <v>13162</v>
      </c>
      <c r="AS882" t="s">
        <v>13163</v>
      </c>
      <c r="AT882" t="s">
        <v>74</v>
      </c>
      <c r="AU882">
        <v>2006</v>
      </c>
      <c r="AV882">
        <v>38</v>
      </c>
      <c r="AW882">
        <v>6</v>
      </c>
      <c r="AX882" t="s">
        <v>74</v>
      </c>
      <c r="AY882" t="s">
        <v>74</v>
      </c>
      <c r="AZ882" t="s">
        <v>74</v>
      </c>
      <c r="BA882" t="s">
        <v>74</v>
      </c>
      <c r="BB882">
        <v>1191</v>
      </c>
      <c r="BC882">
        <v>1197</v>
      </c>
      <c r="BD882" t="s">
        <v>74</v>
      </c>
      <c r="BE882" t="s">
        <v>13181</v>
      </c>
      <c r="BF882" t="str">
        <f>HYPERLINK("http://dx.doi.org/10.1016/j.asr.2005.05.034","http://dx.doi.org/10.1016/j.asr.2005.05.034")</f>
        <v>http://dx.doi.org/10.1016/j.asr.2005.05.034</v>
      </c>
      <c r="BG882" t="s">
        <v>74</v>
      </c>
      <c r="BH882" t="s">
        <v>74</v>
      </c>
      <c r="BI882">
        <v>7</v>
      </c>
      <c r="BJ882" t="s">
        <v>13165</v>
      </c>
      <c r="BK882" t="s">
        <v>97</v>
      </c>
      <c r="BL882" t="s">
        <v>13166</v>
      </c>
      <c r="BM882" t="s">
        <v>13182</v>
      </c>
      <c r="BN882" t="s">
        <v>74</v>
      </c>
      <c r="BO882" t="s">
        <v>147</v>
      </c>
      <c r="BP882" t="s">
        <v>74</v>
      </c>
      <c r="BQ882" t="s">
        <v>74</v>
      </c>
      <c r="BR882" t="s">
        <v>100</v>
      </c>
      <c r="BS882" t="s">
        <v>13183</v>
      </c>
      <c r="BT882" t="str">
        <f>HYPERLINK("https%3A%2F%2Fwww.webofscience.com%2Fwos%2Fwoscc%2Ffull-record%2FWOS:000202988300026","View Full Record in Web of Science")</f>
        <v>View Full Record in Web of Science</v>
      </c>
    </row>
    <row r="883" spans="1:72" x14ac:dyDescent="0.15">
      <c r="A883" t="s">
        <v>72</v>
      </c>
      <c r="B883" t="s">
        <v>13184</v>
      </c>
      <c r="C883" t="s">
        <v>74</v>
      </c>
      <c r="D883" t="s">
        <v>74</v>
      </c>
      <c r="E883" t="s">
        <v>74</v>
      </c>
      <c r="F883" t="s">
        <v>13185</v>
      </c>
      <c r="G883" t="s">
        <v>74</v>
      </c>
      <c r="H883" t="s">
        <v>74</v>
      </c>
      <c r="I883" t="s">
        <v>13186</v>
      </c>
      <c r="J883" t="s">
        <v>13153</v>
      </c>
      <c r="K883" t="s">
        <v>74</v>
      </c>
      <c r="L883" t="s">
        <v>74</v>
      </c>
      <c r="M883" t="s">
        <v>78</v>
      </c>
      <c r="N883" t="s">
        <v>79</v>
      </c>
      <c r="O883" t="s">
        <v>74</v>
      </c>
      <c r="P883" t="s">
        <v>74</v>
      </c>
      <c r="Q883" t="s">
        <v>74</v>
      </c>
      <c r="R883" t="s">
        <v>74</v>
      </c>
      <c r="S883" t="s">
        <v>74</v>
      </c>
      <c r="T883" t="s">
        <v>13187</v>
      </c>
      <c r="U883" t="s">
        <v>13188</v>
      </c>
      <c r="V883" t="s">
        <v>13189</v>
      </c>
      <c r="W883" t="s">
        <v>13190</v>
      </c>
      <c r="X883" t="s">
        <v>13191</v>
      </c>
      <c r="Y883" t="s">
        <v>13192</v>
      </c>
      <c r="Z883" t="s">
        <v>13193</v>
      </c>
      <c r="AA883" t="s">
        <v>74</v>
      </c>
      <c r="AB883" t="s">
        <v>74</v>
      </c>
      <c r="AC883" t="s">
        <v>13194</v>
      </c>
      <c r="AD883" t="s">
        <v>413</v>
      </c>
      <c r="AE883" t="s">
        <v>74</v>
      </c>
      <c r="AF883" t="s">
        <v>74</v>
      </c>
      <c r="AG883">
        <v>20</v>
      </c>
      <c r="AH883">
        <v>5</v>
      </c>
      <c r="AI883">
        <v>6</v>
      </c>
      <c r="AJ883">
        <v>0</v>
      </c>
      <c r="AK883">
        <v>0</v>
      </c>
      <c r="AL883" t="s">
        <v>2630</v>
      </c>
      <c r="AM883" t="s">
        <v>388</v>
      </c>
      <c r="AN883" t="s">
        <v>2631</v>
      </c>
      <c r="AO883" t="s">
        <v>13160</v>
      </c>
      <c r="AP883" t="s">
        <v>13161</v>
      </c>
      <c r="AQ883" t="s">
        <v>74</v>
      </c>
      <c r="AR883" t="s">
        <v>13162</v>
      </c>
      <c r="AS883" t="s">
        <v>13163</v>
      </c>
      <c r="AT883" t="s">
        <v>74</v>
      </c>
      <c r="AU883">
        <v>2006</v>
      </c>
      <c r="AV883">
        <v>38</v>
      </c>
      <c r="AW883">
        <v>8</v>
      </c>
      <c r="AX883" t="s">
        <v>74</v>
      </c>
      <c r="AY883" t="s">
        <v>74</v>
      </c>
      <c r="AZ883" t="s">
        <v>74</v>
      </c>
      <c r="BA883" t="s">
        <v>74</v>
      </c>
      <c r="BB883">
        <v>1755</v>
      </c>
      <c r="BC883">
        <v>1762</v>
      </c>
      <c r="BD883" t="s">
        <v>74</v>
      </c>
      <c r="BE883" t="s">
        <v>13195</v>
      </c>
      <c r="BF883" t="str">
        <f>HYPERLINK("http://dx.doi.org/10.1016/j.asr.2005.08.028","http://dx.doi.org/10.1016/j.asr.2005.08.028")</f>
        <v>http://dx.doi.org/10.1016/j.asr.2005.08.028</v>
      </c>
      <c r="BG883" t="s">
        <v>74</v>
      </c>
      <c r="BH883" t="s">
        <v>74</v>
      </c>
      <c r="BI883">
        <v>8</v>
      </c>
      <c r="BJ883" t="s">
        <v>13165</v>
      </c>
      <c r="BK883" t="s">
        <v>97</v>
      </c>
      <c r="BL883" t="s">
        <v>13166</v>
      </c>
      <c r="BM883" t="s">
        <v>13196</v>
      </c>
      <c r="BN883" t="s">
        <v>74</v>
      </c>
      <c r="BO883" t="s">
        <v>74</v>
      </c>
      <c r="BP883" t="s">
        <v>74</v>
      </c>
      <c r="BQ883" t="s">
        <v>74</v>
      </c>
      <c r="BR883" t="s">
        <v>100</v>
      </c>
      <c r="BS883" t="s">
        <v>13197</v>
      </c>
      <c r="BT883" t="str">
        <f>HYPERLINK("https%3A%2F%2Fwww.webofscience.com%2Fwos%2Fwoscc%2Ffull-record%2FWOS:000202988500028","View Full Record in Web of Science")</f>
        <v>View Full Record in Web of Science</v>
      </c>
    </row>
    <row r="884" spans="1:72" x14ac:dyDescent="0.15">
      <c r="A884" t="s">
        <v>72</v>
      </c>
      <c r="B884" t="s">
        <v>13198</v>
      </c>
      <c r="C884" t="s">
        <v>74</v>
      </c>
      <c r="D884" t="s">
        <v>74</v>
      </c>
      <c r="E884" t="s">
        <v>74</v>
      </c>
      <c r="F884" t="s">
        <v>13199</v>
      </c>
      <c r="G884" t="s">
        <v>74</v>
      </c>
      <c r="H884" t="s">
        <v>74</v>
      </c>
      <c r="I884" t="s">
        <v>13200</v>
      </c>
      <c r="J884" t="s">
        <v>13153</v>
      </c>
      <c r="K884" t="s">
        <v>74</v>
      </c>
      <c r="L884" t="s">
        <v>74</v>
      </c>
      <c r="M884" t="s">
        <v>78</v>
      </c>
      <c r="N884" t="s">
        <v>79</v>
      </c>
      <c r="O884" t="s">
        <v>74</v>
      </c>
      <c r="P884" t="s">
        <v>74</v>
      </c>
      <c r="Q884" t="s">
        <v>74</v>
      </c>
      <c r="R884" t="s">
        <v>74</v>
      </c>
      <c r="S884" t="s">
        <v>74</v>
      </c>
      <c r="T884" t="s">
        <v>13201</v>
      </c>
      <c r="U884" t="s">
        <v>13202</v>
      </c>
      <c r="V884" t="s">
        <v>13203</v>
      </c>
      <c r="W884" t="s">
        <v>13204</v>
      </c>
      <c r="X884" t="s">
        <v>13205</v>
      </c>
      <c r="Y884" t="s">
        <v>13206</v>
      </c>
      <c r="Z884" t="s">
        <v>13207</v>
      </c>
      <c r="AA884" t="s">
        <v>74</v>
      </c>
      <c r="AB884" t="s">
        <v>74</v>
      </c>
      <c r="AC884" t="s">
        <v>74</v>
      </c>
      <c r="AD884" t="s">
        <v>74</v>
      </c>
      <c r="AE884" t="s">
        <v>74</v>
      </c>
      <c r="AF884" t="s">
        <v>74</v>
      </c>
      <c r="AG884">
        <v>14</v>
      </c>
      <c r="AH884">
        <v>1</v>
      </c>
      <c r="AI884">
        <v>1</v>
      </c>
      <c r="AJ884">
        <v>0</v>
      </c>
      <c r="AK884">
        <v>0</v>
      </c>
      <c r="AL884" t="s">
        <v>2630</v>
      </c>
      <c r="AM884" t="s">
        <v>388</v>
      </c>
      <c r="AN884" t="s">
        <v>2631</v>
      </c>
      <c r="AO884" t="s">
        <v>13160</v>
      </c>
      <c r="AP884" t="s">
        <v>13161</v>
      </c>
      <c r="AQ884" t="s">
        <v>74</v>
      </c>
      <c r="AR884" t="s">
        <v>13162</v>
      </c>
      <c r="AS884" t="s">
        <v>13163</v>
      </c>
      <c r="AT884" t="s">
        <v>74</v>
      </c>
      <c r="AU884">
        <v>2006</v>
      </c>
      <c r="AV884">
        <v>38</v>
      </c>
      <c r="AW884">
        <v>10</v>
      </c>
      <c r="AX884" t="s">
        <v>74</v>
      </c>
      <c r="AY884" t="s">
        <v>74</v>
      </c>
      <c r="AZ884" t="s">
        <v>74</v>
      </c>
      <c r="BA884" t="s">
        <v>74</v>
      </c>
      <c r="BB884">
        <v>2218</v>
      </c>
      <c r="BC884">
        <v>2222</v>
      </c>
      <c r="BD884" t="s">
        <v>74</v>
      </c>
      <c r="BE884" t="s">
        <v>13208</v>
      </c>
      <c r="BF884" t="str">
        <f>HYPERLINK("http://dx.doi.org/10.1016/j.asr.2006.07.003","http://dx.doi.org/10.1016/j.asr.2006.07.003")</f>
        <v>http://dx.doi.org/10.1016/j.asr.2006.07.003</v>
      </c>
      <c r="BG884" t="s">
        <v>74</v>
      </c>
      <c r="BH884" t="s">
        <v>74</v>
      </c>
      <c r="BI884">
        <v>5</v>
      </c>
      <c r="BJ884" t="s">
        <v>13165</v>
      </c>
      <c r="BK884" t="s">
        <v>97</v>
      </c>
      <c r="BL884" t="s">
        <v>13166</v>
      </c>
      <c r="BM884" t="s">
        <v>13209</v>
      </c>
      <c r="BN884" t="s">
        <v>74</v>
      </c>
      <c r="BO884" t="s">
        <v>74</v>
      </c>
      <c r="BP884" t="s">
        <v>74</v>
      </c>
      <c r="BQ884" t="s">
        <v>74</v>
      </c>
      <c r="BR884" t="s">
        <v>100</v>
      </c>
      <c r="BS884" t="s">
        <v>13210</v>
      </c>
      <c r="BT884" t="str">
        <f>HYPERLINK("https%3A%2F%2Fwww.webofscience.com%2Fwos%2Fwoscc%2Ffull-record%2FWOS:000202988700011","View Full Record in Web of Science")</f>
        <v>View Full Record in Web of Science</v>
      </c>
    </row>
    <row r="885" spans="1:72" x14ac:dyDescent="0.15">
      <c r="A885" t="s">
        <v>72</v>
      </c>
      <c r="B885" t="s">
        <v>13211</v>
      </c>
      <c r="C885" t="s">
        <v>74</v>
      </c>
      <c r="D885" t="s">
        <v>74</v>
      </c>
      <c r="E885" t="s">
        <v>74</v>
      </c>
      <c r="F885" t="s">
        <v>13212</v>
      </c>
      <c r="G885" t="s">
        <v>74</v>
      </c>
      <c r="H885" t="s">
        <v>74</v>
      </c>
      <c r="I885" t="s">
        <v>13213</v>
      </c>
      <c r="J885" t="s">
        <v>13153</v>
      </c>
      <c r="K885" t="s">
        <v>74</v>
      </c>
      <c r="L885" t="s">
        <v>74</v>
      </c>
      <c r="M885" t="s">
        <v>78</v>
      </c>
      <c r="N885" t="s">
        <v>79</v>
      </c>
      <c r="O885" t="s">
        <v>74</v>
      </c>
      <c r="P885" t="s">
        <v>74</v>
      </c>
      <c r="Q885" t="s">
        <v>74</v>
      </c>
      <c r="R885" t="s">
        <v>74</v>
      </c>
      <c r="S885" t="s">
        <v>74</v>
      </c>
      <c r="T885" t="s">
        <v>13214</v>
      </c>
      <c r="U885" t="s">
        <v>13215</v>
      </c>
      <c r="V885" t="s">
        <v>13216</v>
      </c>
      <c r="W885" t="s">
        <v>13217</v>
      </c>
      <c r="X885" t="s">
        <v>13218</v>
      </c>
      <c r="Y885" t="s">
        <v>13219</v>
      </c>
      <c r="Z885" t="s">
        <v>13220</v>
      </c>
      <c r="AA885" t="s">
        <v>13221</v>
      </c>
      <c r="AB885" t="s">
        <v>74</v>
      </c>
      <c r="AC885" t="s">
        <v>74</v>
      </c>
      <c r="AD885" t="s">
        <v>74</v>
      </c>
      <c r="AE885" t="s">
        <v>74</v>
      </c>
      <c r="AF885" t="s">
        <v>74</v>
      </c>
      <c r="AG885">
        <v>13</v>
      </c>
      <c r="AH885">
        <v>5</v>
      </c>
      <c r="AI885">
        <v>5</v>
      </c>
      <c r="AJ885">
        <v>0</v>
      </c>
      <c r="AK885">
        <v>1</v>
      </c>
      <c r="AL885" t="s">
        <v>2630</v>
      </c>
      <c r="AM885" t="s">
        <v>388</v>
      </c>
      <c r="AN885" t="s">
        <v>2631</v>
      </c>
      <c r="AO885" t="s">
        <v>13160</v>
      </c>
      <c r="AP885" t="s">
        <v>13161</v>
      </c>
      <c r="AQ885" t="s">
        <v>74</v>
      </c>
      <c r="AR885" t="s">
        <v>13162</v>
      </c>
      <c r="AS885" t="s">
        <v>13163</v>
      </c>
      <c r="AT885" t="s">
        <v>74</v>
      </c>
      <c r="AU885">
        <v>2006</v>
      </c>
      <c r="AV885">
        <v>38</v>
      </c>
      <c r="AW885">
        <v>11</v>
      </c>
      <c r="AX885" t="s">
        <v>74</v>
      </c>
      <c r="AY885" t="s">
        <v>74</v>
      </c>
      <c r="AZ885" t="s">
        <v>74</v>
      </c>
      <c r="BA885" t="s">
        <v>74</v>
      </c>
      <c r="BB885">
        <v>2374</v>
      </c>
      <c r="BC885">
        <v>2379</v>
      </c>
      <c r="BD885" t="s">
        <v>74</v>
      </c>
      <c r="BE885" t="s">
        <v>13222</v>
      </c>
      <c r="BF885" t="str">
        <f>HYPERLINK("http://dx.doi.org/10.1016/j.asr.2005.07.041","http://dx.doi.org/10.1016/j.asr.2005.07.041")</f>
        <v>http://dx.doi.org/10.1016/j.asr.2005.07.041</v>
      </c>
      <c r="BG885" t="s">
        <v>74</v>
      </c>
      <c r="BH885" t="s">
        <v>74</v>
      </c>
      <c r="BI885">
        <v>6</v>
      </c>
      <c r="BJ885" t="s">
        <v>13165</v>
      </c>
      <c r="BK885" t="s">
        <v>97</v>
      </c>
      <c r="BL885" t="s">
        <v>13166</v>
      </c>
      <c r="BM885" t="s">
        <v>13223</v>
      </c>
      <c r="BN885" t="s">
        <v>74</v>
      </c>
      <c r="BO885" t="s">
        <v>74</v>
      </c>
      <c r="BP885" t="s">
        <v>74</v>
      </c>
      <c r="BQ885" t="s">
        <v>74</v>
      </c>
      <c r="BR885" t="s">
        <v>100</v>
      </c>
      <c r="BS885" t="s">
        <v>13224</v>
      </c>
      <c r="BT885" t="str">
        <f>HYPERLINK("https%3A%2F%2Fwww.webofscience.com%2Fwos%2Fwoscc%2Ffull-record%2FWOS:000202988800011","View Full Record in Web of Science")</f>
        <v>View Full Record in Web of Science</v>
      </c>
    </row>
    <row r="886" spans="1:72" x14ac:dyDescent="0.15">
      <c r="A886" t="s">
        <v>72</v>
      </c>
      <c r="B886" t="s">
        <v>13225</v>
      </c>
      <c r="C886" t="s">
        <v>74</v>
      </c>
      <c r="D886" t="s">
        <v>74</v>
      </c>
      <c r="E886" t="s">
        <v>74</v>
      </c>
      <c r="F886" t="s">
        <v>13226</v>
      </c>
      <c r="G886" t="s">
        <v>74</v>
      </c>
      <c r="H886" t="s">
        <v>74</v>
      </c>
      <c r="I886" t="s">
        <v>13227</v>
      </c>
      <c r="J886" t="s">
        <v>13153</v>
      </c>
      <c r="K886" t="s">
        <v>74</v>
      </c>
      <c r="L886" t="s">
        <v>74</v>
      </c>
      <c r="M886" t="s">
        <v>78</v>
      </c>
      <c r="N886" t="s">
        <v>79</v>
      </c>
      <c r="O886" t="s">
        <v>74</v>
      </c>
      <c r="P886" t="s">
        <v>74</v>
      </c>
      <c r="Q886" t="s">
        <v>74</v>
      </c>
      <c r="R886" t="s">
        <v>74</v>
      </c>
      <c r="S886" t="s">
        <v>74</v>
      </c>
      <c r="T886" t="s">
        <v>13228</v>
      </c>
      <c r="U886" t="s">
        <v>13229</v>
      </c>
      <c r="V886" t="s">
        <v>13230</v>
      </c>
      <c r="W886" t="s">
        <v>13231</v>
      </c>
      <c r="X886" t="s">
        <v>13232</v>
      </c>
      <c r="Y886" t="s">
        <v>13233</v>
      </c>
      <c r="Z886" t="s">
        <v>13234</v>
      </c>
      <c r="AA886" t="s">
        <v>13235</v>
      </c>
      <c r="AB886" t="s">
        <v>74</v>
      </c>
      <c r="AC886" t="s">
        <v>74</v>
      </c>
      <c r="AD886" t="s">
        <v>74</v>
      </c>
      <c r="AE886" t="s">
        <v>74</v>
      </c>
      <c r="AF886" t="s">
        <v>74</v>
      </c>
      <c r="AG886">
        <v>23</v>
      </c>
      <c r="AH886">
        <v>17</v>
      </c>
      <c r="AI886">
        <v>17</v>
      </c>
      <c r="AJ886">
        <v>0</v>
      </c>
      <c r="AK886">
        <v>0</v>
      </c>
      <c r="AL886" t="s">
        <v>2630</v>
      </c>
      <c r="AM886" t="s">
        <v>388</v>
      </c>
      <c r="AN886" t="s">
        <v>2631</v>
      </c>
      <c r="AO886" t="s">
        <v>13160</v>
      </c>
      <c r="AP886" t="s">
        <v>13161</v>
      </c>
      <c r="AQ886" t="s">
        <v>74</v>
      </c>
      <c r="AR886" t="s">
        <v>13162</v>
      </c>
      <c r="AS886" t="s">
        <v>13163</v>
      </c>
      <c r="AT886" t="s">
        <v>74</v>
      </c>
      <c r="AU886">
        <v>2006</v>
      </c>
      <c r="AV886">
        <v>38</v>
      </c>
      <c r="AW886">
        <v>11</v>
      </c>
      <c r="AX886" t="s">
        <v>74</v>
      </c>
      <c r="AY886" t="s">
        <v>74</v>
      </c>
      <c r="AZ886" t="s">
        <v>74</v>
      </c>
      <c r="BA886" t="s">
        <v>74</v>
      </c>
      <c r="BB886">
        <v>2418</v>
      </c>
      <c r="BC886">
        <v>2423</v>
      </c>
      <c r="BD886" t="s">
        <v>74</v>
      </c>
      <c r="BE886" t="s">
        <v>13236</v>
      </c>
      <c r="BF886" t="str">
        <f>HYPERLINK("http://dx.doi.org/10.1016/j.asr.2005.09.036","http://dx.doi.org/10.1016/j.asr.2005.09.036")</f>
        <v>http://dx.doi.org/10.1016/j.asr.2005.09.036</v>
      </c>
      <c r="BG886" t="s">
        <v>74</v>
      </c>
      <c r="BH886" t="s">
        <v>74</v>
      </c>
      <c r="BI886">
        <v>6</v>
      </c>
      <c r="BJ886" t="s">
        <v>13165</v>
      </c>
      <c r="BK886" t="s">
        <v>97</v>
      </c>
      <c r="BL886" t="s">
        <v>13166</v>
      </c>
      <c r="BM886" t="s">
        <v>13223</v>
      </c>
      <c r="BN886" t="s">
        <v>74</v>
      </c>
      <c r="BO886" t="s">
        <v>74</v>
      </c>
      <c r="BP886" t="s">
        <v>74</v>
      </c>
      <c r="BQ886" t="s">
        <v>74</v>
      </c>
      <c r="BR886" t="s">
        <v>100</v>
      </c>
      <c r="BS886" t="s">
        <v>13237</v>
      </c>
      <c r="BT886" t="str">
        <f>HYPERLINK("https%3A%2F%2Fwww.webofscience.com%2Fwos%2Fwoscc%2Ffull-record%2FWOS:000202988800018","View Full Record in Web of Science")</f>
        <v>View Full Record in Web of Science</v>
      </c>
    </row>
    <row r="887" spans="1:72" x14ac:dyDescent="0.15">
      <c r="A887" t="s">
        <v>72</v>
      </c>
      <c r="B887" t="s">
        <v>13238</v>
      </c>
      <c r="C887" t="s">
        <v>74</v>
      </c>
      <c r="D887" t="s">
        <v>74</v>
      </c>
      <c r="E887" t="s">
        <v>74</v>
      </c>
      <c r="F887" t="s">
        <v>13239</v>
      </c>
      <c r="G887" t="s">
        <v>74</v>
      </c>
      <c r="H887" t="s">
        <v>74</v>
      </c>
      <c r="I887" t="s">
        <v>13240</v>
      </c>
      <c r="J887" t="s">
        <v>13153</v>
      </c>
      <c r="K887" t="s">
        <v>74</v>
      </c>
      <c r="L887" t="s">
        <v>74</v>
      </c>
      <c r="M887" t="s">
        <v>78</v>
      </c>
      <c r="N887" t="s">
        <v>79</v>
      </c>
      <c r="O887" t="s">
        <v>74</v>
      </c>
      <c r="P887" t="s">
        <v>74</v>
      </c>
      <c r="Q887" t="s">
        <v>74</v>
      </c>
      <c r="R887" t="s">
        <v>74</v>
      </c>
      <c r="S887" t="s">
        <v>74</v>
      </c>
      <c r="T887" t="s">
        <v>13241</v>
      </c>
      <c r="U887" t="s">
        <v>13242</v>
      </c>
      <c r="V887" t="s">
        <v>13243</v>
      </c>
      <c r="W887" t="s">
        <v>2646</v>
      </c>
      <c r="X887" t="s">
        <v>407</v>
      </c>
      <c r="Y887" t="s">
        <v>13244</v>
      </c>
      <c r="Z887" t="s">
        <v>13245</v>
      </c>
      <c r="AA887" t="s">
        <v>74</v>
      </c>
      <c r="AB887" t="s">
        <v>74</v>
      </c>
      <c r="AC887" t="s">
        <v>13246</v>
      </c>
      <c r="AD887" t="s">
        <v>413</v>
      </c>
      <c r="AE887" t="s">
        <v>74</v>
      </c>
      <c r="AF887" t="s">
        <v>74</v>
      </c>
      <c r="AG887">
        <v>21</v>
      </c>
      <c r="AH887">
        <v>7</v>
      </c>
      <c r="AI887">
        <v>9</v>
      </c>
      <c r="AJ887">
        <v>1</v>
      </c>
      <c r="AK887">
        <v>8</v>
      </c>
      <c r="AL887" t="s">
        <v>2630</v>
      </c>
      <c r="AM887" t="s">
        <v>388</v>
      </c>
      <c r="AN887" t="s">
        <v>2631</v>
      </c>
      <c r="AO887" t="s">
        <v>13160</v>
      </c>
      <c r="AP887" t="s">
        <v>13161</v>
      </c>
      <c r="AQ887" t="s">
        <v>74</v>
      </c>
      <c r="AR887" t="s">
        <v>13162</v>
      </c>
      <c r="AS887" t="s">
        <v>13163</v>
      </c>
      <c r="AT887" t="s">
        <v>74</v>
      </c>
      <c r="AU887">
        <v>2006</v>
      </c>
      <c r="AV887">
        <v>38</v>
      </c>
      <c r="AW887">
        <v>11</v>
      </c>
      <c r="AX887" t="s">
        <v>74</v>
      </c>
      <c r="AY887" t="s">
        <v>74</v>
      </c>
      <c r="AZ887" t="s">
        <v>74</v>
      </c>
      <c r="BA887" t="s">
        <v>74</v>
      </c>
      <c r="BB887">
        <v>2446</v>
      </c>
      <c r="BC887">
        <v>2451</v>
      </c>
      <c r="BD887" t="s">
        <v>74</v>
      </c>
      <c r="BE887" t="s">
        <v>13247</v>
      </c>
      <c r="BF887" t="str">
        <f>HYPERLINK("http://dx.doi.org/10.1016/j.asr.2006.02.078","http://dx.doi.org/10.1016/j.asr.2006.02.078")</f>
        <v>http://dx.doi.org/10.1016/j.asr.2006.02.078</v>
      </c>
      <c r="BG887" t="s">
        <v>74</v>
      </c>
      <c r="BH887" t="s">
        <v>74</v>
      </c>
      <c r="BI887">
        <v>6</v>
      </c>
      <c r="BJ887" t="s">
        <v>13165</v>
      </c>
      <c r="BK887" t="s">
        <v>97</v>
      </c>
      <c r="BL887" t="s">
        <v>13166</v>
      </c>
      <c r="BM887" t="s">
        <v>13223</v>
      </c>
      <c r="BN887" t="s">
        <v>74</v>
      </c>
      <c r="BO887" t="s">
        <v>74</v>
      </c>
      <c r="BP887" t="s">
        <v>74</v>
      </c>
      <c r="BQ887" t="s">
        <v>74</v>
      </c>
      <c r="BR887" t="s">
        <v>100</v>
      </c>
      <c r="BS887" t="s">
        <v>13248</v>
      </c>
      <c r="BT887" t="str">
        <f>HYPERLINK("https%3A%2F%2Fwww.webofscience.com%2Fwos%2Fwoscc%2Ffull-record%2FWOS:000202988800022","View Full Record in Web of Science")</f>
        <v>View Full Record in Web of Science</v>
      </c>
    </row>
    <row r="888" spans="1:72" x14ac:dyDescent="0.15">
      <c r="A888" t="s">
        <v>72</v>
      </c>
      <c r="B888" t="s">
        <v>13249</v>
      </c>
      <c r="C888" t="s">
        <v>74</v>
      </c>
      <c r="D888" t="s">
        <v>74</v>
      </c>
      <c r="E888" t="s">
        <v>74</v>
      </c>
      <c r="F888" t="s">
        <v>13250</v>
      </c>
      <c r="G888" t="s">
        <v>74</v>
      </c>
      <c r="H888" t="s">
        <v>74</v>
      </c>
      <c r="I888" t="s">
        <v>13251</v>
      </c>
      <c r="J888" t="s">
        <v>13153</v>
      </c>
      <c r="K888" t="s">
        <v>74</v>
      </c>
      <c r="L888" t="s">
        <v>74</v>
      </c>
      <c r="M888" t="s">
        <v>78</v>
      </c>
      <c r="N888" t="s">
        <v>79</v>
      </c>
      <c r="O888" t="s">
        <v>74</v>
      </c>
      <c r="P888" t="s">
        <v>74</v>
      </c>
      <c r="Q888" t="s">
        <v>74</v>
      </c>
      <c r="R888" t="s">
        <v>74</v>
      </c>
      <c r="S888" t="s">
        <v>74</v>
      </c>
      <c r="T888" t="s">
        <v>13252</v>
      </c>
      <c r="U888" t="s">
        <v>13253</v>
      </c>
      <c r="V888" t="s">
        <v>13254</v>
      </c>
      <c r="W888" t="s">
        <v>13255</v>
      </c>
      <c r="X888" t="s">
        <v>13256</v>
      </c>
      <c r="Y888" t="s">
        <v>13257</v>
      </c>
      <c r="Z888" t="s">
        <v>13258</v>
      </c>
      <c r="AA888" t="s">
        <v>13259</v>
      </c>
      <c r="AB888" t="s">
        <v>13260</v>
      </c>
      <c r="AC888" t="s">
        <v>74</v>
      </c>
      <c r="AD888" t="s">
        <v>74</v>
      </c>
      <c r="AE888" t="s">
        <v>74</v>
      </c>
      <c r="AF888" t="s">
        <v>74</v>
      </c>
      <c r="AG888">
        <v>26</v>
      </c>
      <c r="AH888">
        <v>9</v>
      </c>
      <c r="AI888">
        <v>9</v>
      </c>
      <c r="AJ888">
        <v>0</v>
      </c>
      <c r="AK888">
        <v>1</v>
      </c>
      <c r="AL888" t="s">
        <v>2630</v>
      </c>
      <c r="AM888" t="s">
        <v>388</v>
      </c>
      <c r="AN888" t="s">
        <v>2631</v>
      </c>
      <c r="AO888" t="s">
        <v>13160</v>
      </c>
      <c r="AP888" t="s">
        <v>13161</v>
      </c>
      <c r="AQ888" t="s">
        <v>74</v>
      </c>
      <c r="AR888" t="s">
        <v>13162</v>
      </c>
      <c r="AS888" t="s">
        <v>13163</v>
      </c>
      <c r="AT888" t="s">
        <v>74</v>
      </c>
      <c r="AU888">
        <v>2006</v>
      </c>
      <c r="AV888">
        <v>38</v>
      </c>
      <c r="AW888">
        <v>11</v>
      </c>
      <c r="AX888" t="s">
        <v>74</v>
      </c>
      <c r="AY888" t="s">
        <v>74</v>
      </c>
      <c r="AZ888" t="s">
        <v>74</v>
      </c>
      <c r="BA888" t="s">
        <v>74</v>
      </c>
      <c r="BB888">
        <v>2495</v>
      </c>
      <c r="BC888">
        <v>2502</v>
      </c>
      <c r="BD888" t="s">
        <v>74</v>
      </c>
      <c r="BE888" t="s">
        <v>13261</v>
      </c>
      <c r="BF888" t="str">
        <f>HYPERLINK("http://dx.doi.org/10.1016/j.asr.2004.12.047","http://dx.doi.org/10.1016/j.asr.2004.12.047")</f>
        <v>http://dx.doi.org/10.1016/j.asr.2004.12.047</v>
      </c>
      <c r="BG888" t="s">
        <v>74</v>
      </c>
      <c r="BH888" t="s">
        <v>74</v>
      </c>
      <c r="BI888">
        <v>8</v>
      </c>
      <c r="BJ888" t="s">
        <v>13165</v>
      </c>
      <c r="BK888" t="s">
        <v>97</v>
      </c>
      <c r="BL888" t="s">
        <v>13166</v>
      </c>
      <c r="BM888" t="s">
        <v>13223</v>
      </c>
      <c r="BN888" t="s">
        <v>74</v>
      </c>
      <c r="BO888" t="s">
        <v>74</v>
      </c>
      <c r="BP888" t="s">
        <v>74</v>
      </c>
      <c r="BQ888" t="s">
        <v>74</v>
      </c>
      <c r="BR888" t="s">
        <v>100</v>
      </c>
      <c r="BS888" t="s">
        <v>13262</v>
      </c>
      <c r="BT888" t="str">
        <f>HYPERLINK("https%3A%2F%2Fwww.webofscience.com%2Fwos%2Fwoscc%2Ffull-record%2FWOS:000202988800031","View Full Record in Web of Science")</f>
        <v>View Full Record in Web of Science</v>
      </c>
    </row>
    <row r="889" spans="1:72" x14ac:dyDescent="0.15">
      <c r="A889" t="s">
        <v>72</v>
      </c>
      <c r="B889" t="s">
        <v>13263</v>
      </c>
      <c r="C889" t="s">
        <v>74</v>
      </c>
      <c r="D889" t="s">
        <v>74</v>
      </c>
      <c r="E889" t="s">
        <v>74</v>
      </c>
      <c r="F889" t="s">
        <v>13264</v>
      </c>
      <c r="G889" t="s">
        <v>74</v>
      </c>
      <c r="H889" t="s">
        <v>74</v>
      </c>
      <c r="I889" t="s">
        <v>13265</v>
      </c>
      <c r="J889" t="s">
        <v>13153</v>
      </c>
      <c r="K889" t="s">
        <v>74</v>
      </c>
      <c r="L889" t="s">
        <v>74</v>
      </c>
      <c r="M889" t="s">
        <v>78</v>
      </c>
      <c r="N889" t="s">
        <v>79</v>
      </c>
      <c r="O889" t="s">
        <v>74</v>
      </c>
      <c r="P889" t="s">
        <v>74</v>
      </c>
      <c r="Q889" t="s">
        <v>74</v>
      </c>
      <c r="R889" t="s">
        <v>74</v>
      </c>
      <c r="S889" t="s">
        <v>74</v>
      </c>
      <c r="T889" t="s">
        <v>13266</v>
      </c>
      <c r="U889" t="s">
        <v>13267</v>
      </c>
      <c r="V889" t="s">
        <v>13268</v>
      </c>
      <c r="W889" t="s">
        <v>13269</v>
      </c>
      <c r="X889" t="s">
        <v>13270</v>
      </c>
      <c r="Y889" t="s">
        <v>13257</v>
      </c>
      <c r="Z889" t="s">
        <v>13271</v>
      </c>
      <c r="AA889" t="s">
        <v>13272</v>
      </c>
      <c r="AB889" t="s">
        <v>13273</v>
      </c>
      <c r="AC889" t="s">
        <v>74</v>
      </c>
      <c r="AD889" t="s">
        <v>74</v>
      </c>
      <c r="AE889" t="s">
        <v>74</v>
      </c>
      <c r="AF889" t="s">
        <v>74</v>
      </c>
      <c r="AG889">
        <v>21</v>
      </c>
      <c r="AH889">
        <v>14</v>
      </c>
      <c r="AI889">
        <v>16</v>
      </c>
      <c r="AJ889">
        <v>0</v>
      </c>
      <c r="AK889">
        <v>0</v>
      </c>
      <c r="AL889" t="s">
        <v>2630</v>
      </c>
      <c r="AM889" t="s">
        <v>388</v>
      </c>
      <c r="AN889" t="s">
        <v>2631</v>
      </c>
      <c r="AO889" t="s">
        <v>13160</v>
      </c>
      <c r="AP889" t="s">
        <v>13161</v>
      </c>
      <c r="AQ889" t="s">
        <v>74</v>
      </c>
      <c r="AR889" t="s">
        <v>13162</v>
      </c>
      <c r="AS889" t="s">
        <v>13163</v>
      </c>
      <c r="AT889" t="s">
        <v>74</v>
      </c>
      <c r="AU889">
        <v>2006</v>
      </c>
      <c r="AV889">
        <v>38</v>
      </c>
      <c r="AW889">
        <v>11</v>
      </c>
      <c r="AX889" t="s">
        <v>74</v>
      </c>
      <c r="AY889" t="s">
        <v>74</v>
      </c>
      <c r="AZ889" t="s">
        <v>74</v>
      </c>
      <c r="BA889" t="s">
        <v>74</v>
      </c>
      <c r="BB889">
        <v>2503</v>
      </c>
      <c r="BC889">
        <v>2510</v>
      </c>
      <c r="BD889" t="s">
        <v>74</v>
      </c>
      <c r="BE889" t="s">
        <v>13274</v>
      </c>
      <c r="BF889" t="str">
        <f>HYPERLINK("http://dx.doi.org/10.1016/j.asr.2004.12.008","http://dx.doi.org/10.1016/j.asr.2004.12.008")</f>
        <v>http://dx.doi.org/10.1016/j.asr.2004.12.008</v>
      </c>
      <c r="BG889" t="s">
        <v>74</v>
      </c>
      <c r="BH889" t="s">
        <v>74</v>
      </c>
      <c r="BI889">
        <v>8</v>
      </c>
      <c r="BJ889" t="s">
        <v>13165</v>
      </c>
      <c r="BK889" t="s">
        <v>97</v>
      </c>
      <c r="BL889" t="s">
        <v>13166</v>
      </c>
      <c r="BM889" t="s">
        <v>13223</v>
      </c>
      <c r="BN889" t="s">
        <v>74</v>
      </c>
      <c r="BO889" t="s">
        <v>74</v>
      </c>
      <c r="BP889" t="s">
        <v>74</v>
      </c>
      <c r="BQ889" t="s">
        <v>74</v>
      </c>
      <c r="BR889" t="s">
        <v>100</v>
      </c>
      <c r="BS889" t="s">
        <v>13275</v>
      </c>
      <c r="BT889" t="str">
        <f>HYPERLINK("https%3A%2F%2Fwww.webofscience.com%2Fwos%2Fwoscc%2Ffull-record%2FWOS:000202988800032","View Full Record in Web of Science")</f>
        <v>View Full Record in Web of Science</v>
      </c>
    </row>
    <row r="890" spans="1:72" x14ac:dyDescent="0.15">
      <c r="A890" t="s">
        <v>72</v>
      </c>
      <c r="B890" t="s">
        <v>13276</v>
      </c>
      <c r="C890" t="s">
        <v>74</v>
      </c>
      <c r="D890" t="s">
        <v>74</v>
      </c>
      <c r="E890" t="s">
        <v>74</v>
      </c>
      <c r="F890" t="s">
        <v>13277</v>
      </c>
      <c r="G890" t="s">
        <v>74</v>
      </c>
      <c r="H890" t="s">
        <v>74</v>
      </c>
      <c r="I890" t="s">
        <v>13278</v>
      </c>
      <c r="J890" t="s">
        <v>13153</v>
      </c>
      <c r="K890" t="s">
        <v>74</v>
      </c>
      <c r="L890" t="s">
        <v>74</v>
      </c>
      <c r="M890" t="s">
        <v>78</v>
      </c>
      <c r="N890" t="s">
        <v>79</v>
      </c>
      <c r="O890" t="s">
        <v>74</v>
      </c>
      <c r="P890" t="s">
        <v>74</v>
      </c>
      <c r="Q890" t="s">
        <v>74</v>
      </c>
      <c r="R890" t="s">
        <v>74</v>
      </c>
      <c r="S890" t="s">
        <v>74</v>
      </c>
      <c r="T890" t="s">
        <v>13279</v>
      </c>
      <c r="U890" t="s">
        <v>13280</v>
      </c>
      <c r="V890" t="s">
        <v>13281</v>
      </c>
      <c r="W890" t="s">
        <v>13282</v>
      </c>
      <c r="X890" t="s">
        <v>9920</v>
      </c>
      <c r="Y890" t="s">
        <v>9921</v>
      </c>
      <c r="Z890" t="s">
        <v>13283</v>
      </c>
      <c r="AA890" t="s">
        <v>74</v>
      </c>
      <c r="AB890" t="s">
        <v>74</v>
      </c>
      <c r="AC890" t="s">
        <v>74</v>
      </c>
      <c r="AD890" t="s">
        <v>74</v>
      </c>
      <c r="AE890" t="s">
        <v>74</v>
      </c>
      <c r="AF890" t="s">
        <v>74</v>
      </c>
      <c r="AG890">
        <v>27</v>
      </c>
      <c r="AH890">
        <v>41</v>
      </c>
      <c r="AI890">
        <v>41</v>
      </c>
      <c r="AJ890">
        <v>0</v>
      </c>
      <c r="AK890">
        <v>2</v>
      </c>
      <c r="AL890" t="s">
        <v>2630</v>
      </c>
      <c r="AM890" t="s">
        <v>388</v>
      </c>
      <c r="AN890" t="s">
        <v>2631</v>
      </c>
      <c r="AO890" t="s">
        <v>13160</v>
      </c>
      <c r="AP890" t="s">
        <v>13161</v>
      </c>
      <c r="AQ890" t="s">
        <v>74</v>
      </c>
      <c r="AR890" t="s">
        <v>13162</v>
      </c>
      <c r="AS890" t="s">
        <v>13163</v>
      </c>
      <c r="AT890" t="s">
        <v>74</v>
      </c>
      <c r="AU890">
        <v>2006</v>
      </c>
      <c r="AV890">
        <v>38</v>
      </c>
      <c r="AW890">
        <v>11</v>
      </c>
      <c r="AX890" t="s">
        <v>74</v>
      </c>
      <c r="AY890" t="s">
        <v>74</v>
      </c>
      <c r="AZ890" t="s">
        <v>74</v>
      </c>
      <c r="BA890" t="s">
        <v>74</v>
      </c>
      <c r="BB890">
        <v>2601</v>
      </c>
      <c r="BC890">
        <v>2609</v>
      </c>
      <c r="BD890" t="s">
        <v>74</v>
      </c>
      <c r="BE890" t="s">
        <v>13284</v>
      </c>
      <c r="BF890" t="str">
        <f>HYPERLINK("http://dx.doi.org/10.1016/j.asr.2005.12.006","http://dx.doi.org/10.1016/j.asr.2005.12.006")</f>
        <v>http://dx.doi.org/10.1016/j.asr.2005.12.006</v>
      </c>
      <c r="BG890" t="s">
        <v>74</v>
      </c>
      <c r="BH890" t="s">
        <v>74</v>
      </c>
      <c r="BI890">
        <v>9</v>
      </c>
      <c r="BJ890" t="s">
        <v>13165</v>
      </c>
      <c r="BK890" t="s">
        <v>97</v>
      </c>
      <c r="BL890" t="s">
        <v>13166</v>
      </c>
      <c r="BM890" t="s">
        <v>13223</v>
      </c>
      <c r="BN890" t="s">
        <v>74</v>
      </c>
      <c r="BO890" t="s">
        <v>74</v>
      </c>
      <c r="BP890" t="s">
        <v>74</v>
      </c>
      <c r="BQ890" t="s">
        <v>74</v>
      </c>
      <c r="BR890" t="s">
        <v>100</v>
      </c>
      <c r="BS890" t="s">
        <v>13285</v>
      </c>
      <c r="BT890" t="str">
        <f>HYPERLINK("https%3A%2F%2Fwww.webofscience.com%2Fwos%2Fwoscc%2Ffull-record%2FWOS:000202988800047","View Full Record in Web of Science")</f>
        <v>View Full Record in Web of Science</v>
      </c>
    </row>
    <row r="891" spans="1:72" x14ac:dyDescent="0.15">
      <c r="A891" t="s">
        <v>652</v>
      </c>
      <c r="B891" t="s">
        <v>13286</v>
      </c>
      <c r="C891" t="s">
        <v>74</v>
      </c>
      <c r="D891" t="s">
        <v>13287</v>
      </c>
      <c r="E891" t="s">
        <v>74</v>
      </c>
      <c r="F891" t="s">
        <v>13288</v>
      </c>
      <c r="G891" t="s">
        <v>74</v>
      </c>
      <c r="H891" t="s">
        <v>74</v>
      </c>
      <c r="I891" t="s">
        <v>13289</v>
      </c>
      <c r="J891" t="s">
        <v>13290</v>
      </c>
      <c r="K891" t="s">
        <v>13291</v>
      </c>
      <c r="L891" t="s">
        <v>74</v>
      </c>
      <c r="M891" t="s">
        <v>78</v>
      </c>
      <c r="N891" t="s">
        <v>1226</v>
      </c>
      <c r="O891" t="s">
        <v>13292</v>
      </c>
      <c r="P891" t="s">
        <v>13293</v>
      </c>
      <c r="Q891" t="s">
        <v>3193</v>
      </c>
      <c r="R891" t="s">
        <v>74</v>
      </c>
      <c r="S891" t="s">
        <v>74</v>
      </c>
      <c r="T891" t="s">
        <v>13294</v>
      </c>
      <c r="U891" t="s">
        <v>13295</v>
      </c>
      <c r="V891" t="s">
        <v>13296</v>
      </c>
      <c r="W891" t="s">
        <v>13297</v>
      </c>
      <c r="X891" t="s">
        <v>13298</v>
      </c>
      <c r="Y891" t="s">
        <v>13299</v>
      </c>
      <c r="Z891" t="s">
        <v>13300</v>
      </c>
      <c r="AA891" t="s">
        <v>13301</v>
      </c>
      <c r="AB891" t="s">
        <v>13302</v>
      </c>
      <c r="AC891" t="s">
        <v>74</v>
      </c>
      <c r="AD891" t="s">
        <v>74</v>
      </c>
      <c r="AE891" t="s">
        <v>74</v>
      </c>
      <c r="AF891" t="s">
        <v>74</v>
      </c>
      <c r="AG891">
        <v>17</v>
      </c>
      <c r="AH891">
        <v>6</v>
      </c>
      <c r="AI891">
        <v>6</v>
      </c>
      <c r="AJ891">
        <v>0</v>
      </c>
      <c r="AK891">
        <v>0</v>
      </c>
      <c r="AL891" t="s">
        <v>13303</v>
      </c>
      <c r="AM891" t="s">
        <v>388</v>
      </c>
      <c r="AN891" t="s">
        <v>13304</v>
      </c>
      <c r="AO891" t="s">
        <v>13160</v>
      </c>
      <c r="AP891" t="s">
        <v>74</v>
      </c>
      <c r="AQ891" t="s">
        <v>74</v>
      </c>
      <c r="AR891" t="s">
        <v>13305</v>
      </c>
      <c r="AS891" t="s">
        <v>74</v>
      </c>
      <c r="AT891" t="s">
        <v>74</v>
      </c>
      <c r="AU891">
        <v>2006</v>
      </c>
      <c r="AV891">
        <v>37</v>
      </c>
      <c r="AW891">
        <v>5</v>
      </c>
      <c r="AX891" t="s">
        <v>74</v>
      </c>
      <c r="AY891" t="s">
        <v>74</v>
      </c>
      <c r="AZ891" t="s">
        <v>74</v>
      </c>
      <c r="BA891" t="s">
        <v>74</v>
      </c>
      <c r="BB891">
        <v>1051</v>
      </c>
      <c r="BC891">
        <v>1057</v>
      </c>
      <c r="BD891" t="s">
        <v>74</v>
      </c>
      <c r="BE891" t="s">
        <v>13306</v>
      </c>
      <c r="BF891" t="str">
        <f>HYPERLINK("http://dx.doi.org/10.1016/j.asr.2006.02.003","http://dx.doi.org/10.1016/j.asr.2006.02.003")</f>
        <v>http://dx.doi.org/10.1016/j.asr.2006.02.003</v>
      </c>
      <c r="BG891" t="s">
        <v>74</v>
      </c>
      <c r="BH891" t="s">
        <v>74</v>
      </c>
      <c r="BI891">
        <v>7</v>
      </c>
      <c r="BJ891" t="s">
        <v>13165</v>
      </c>
      <c r="BK891" t="s">
        <v>655</v>
      </c>
      <c r="BL891" t="s">
        <v>13166</v>
      </c>
      <c r="BM891" t="s">
        <v>13307</v>
      </c>
      <c r="BN891" t="s">
        <v>74</v>
      </c>
      <c r="BO891" t="s">
        <v>74</v>
      </c>
      <c r="BP891" t="s">
        <v>74</v>
      </c>
      <c r="BQ891" t="s">
        <v>74</v>
      </c>
      <c r="BR891" t="s">
        <v>100</v>
      </c>
      <c r="BS891" t="s">
        <v>13308</v>
      </c>
      <c r="BT891" t="str">
        <f>HYPERLINK("https%3A%2F%2Fwww.webofscience.com%2Fwos%2Fwoscc%2Ffull-record%2FWOS:000238387900024","View Full Record in Web of Science")</f>
        <v>View Full Record in Web of Science</v>
      </c>
    </row>
    <row r="892" spans="1:72" x14ac:dyDescent="0.15">
      <c r="A892" t="s">
        <v>12866</v>
      </c>
      <c r="B892" t="s">
        <v>13309</v>
      </c>
      <c r="C892" t="s">
        <v>74</v>
      </c>
      <c r="D892" t="s">
        <v>13310</v>
      </c>
      <c r="E892" t="s">
        <v>74</v>
      </c>
      <c r="F892" t="s">
        <v>13311</v>
      </c>
      <c r="G892" t="s">
        <v>74</v>
      </c>
      <c r="H892" t="s">
        <v>74</v>
      </c>
      <c r="I892" t="s">
        <v>13312</v>
      </c>
      <c r="J892" t="s">
        <v>13313</v>
      </c>
      <c r="K892" t="s">
        <v>13314</v>
      </c>
      <c r="L892" t="s">
        <v>74</v>
      </c>
      <c r="M892" t="s">
        <v>78</v>
      </c>
      <c r="N892" t="s">
        <v>12873</v>
      </c>
      <c r="O892" t="s">
        <v>13315</v>
      </c>
      <c r="P892" t="s">
        <v>13316</v>
      </c>
      <c r="Q892" t="s">
        <v>1646</v>
      </c>
      <c r="R892" t="s">
        <v>74</v>
      </c>
      <c r="S892" t="s">
        <v>74</v>
      </c>
      <c r="T892" t="s">
        <v>13317</v>
      </c>
      <c r="U892" t="s">
        <v>13318</v>
      </c>
      <c r="V892" t="s">
        <v>13319</v>
      </c>
      <c r="W892" t="s">
        <v>13320</v>
      </c>
      <c r="X892" t="s">
        <v>13321</v>
      </c>
      <c r="Y892" t="s">
        <v>13322</v>
      </c>
      <c r="Z892" t="s">
        <v>13323</v>
      </c>
      <c r="AA892" t="s">
        <v>74</v>
      </c>
      <c r="AB892" t="s">
        <v>74</v>
      </c>
      <c r="AC892" t="s">
        <v>74</v>
      </c>
      <c r="AD892" t="s">
        <v>74</v>
      </c>
      <c r="AE892" t="s">
        <v>74</v>
      </c>
      <c r="AF892" t="s">
        <v>74</v>
      </c>
      <c r="AG892">
        <v>13</v>
      </c>
      <c r="AH892">
        <v>0</v>
      </c>
      <c r="AI892">
        <v>0</v>
      </c>
      <c r="AJ892">
        <v>0</v>
      </c>
      <c r="AK892">
        <v>0</v>
      </c>
      <c r="AL892" t="s">
        <v>13324</v>
      </c>
      <c r="AM892" t="s">
        <v>13325</v>
      </c>
      <c r="AN892" t="s">
        <v>13326</v>
      </c>
      <c r="AO892" t="s">
        <v>13327</v>
      </c>
      <c r="AP892" t="s">
        <v>13328</v>
      </c>
      <c r="AQ892" t="s">
        <v>13329</v>
      </c>
      <c r="AR892" t="s">
        <v>13330</v>
      </c>
      <c r="AS892" t="s">
        <v>74</v>
      </c>
      <c r="AT892" t="s">
        <v>74</v>
      </c>
      <c r="AU892">
        <v>2006</v>
      </c>
      <c r="AV892">
        <v>6268</v>
      </c>
      <c r="AW892" t="s">
        <v>74</v>
      </c>
      <c r="AX892" t="s">
        <v>74</v>
      </c>
      <c r="AY892" t="s">
        <v>74</v>
      </c>
      <c r="AZ892" t="s">
        <v>74</v>
      </c>
      <c r="BA892" t="s">
        <v>74</v>
      </c>
      <c r="BB892" t="s">
        <v>74</v>
      </c>
      <c r="BC892" t="s">
        <v>74</v>
      </c>
      <c r="BD892" t="s">
        <v>13331</v>
      </c>
      <c r="BE892" t="s">
        <v>13332</v>
      </c>
      <c r="BF892" t="str">
        <f>HYPERLINK("http://dx.doi.org/10.1117/12.671722","http://dx.doi.org/10.1117/12.671722")</f>
        <v>http://dx.doi.org/10.1117/12.671722</v>
      </c>
      <c r="BG892" t="s">
        <v>74</v>
      </c>
      <c r="BH892" t="s">
        <v>74</v>
      </c>
      <c r="BI892">
        <v>8</v>
      </c>
      <c r="BJ892" t="s">
        <v>13333</v>
      </c>
      <c r="BK892" t="s">
        <v>12886</v>
      </c>
      <c r="BL892" t="s">
        <v>13334</v>
      </c>
      <c r="BM892" t="s">
        <v>13335</v>
      </c>
      <c r="BN892" t="s">
        <v>74</v>
      </c>
      <c r="BO892" t="s">
        <v>147</v>
      </c>
      <c r="BP892" t="s">
        <v>74</v>
      </c>
      <c r="BQ892" t="s">
        <v>74</v>
      </c>
      <c r="BR892" t="s">
        <v>100</v>
      </c>
      <c r="BS892" t="s">
        <v>13336</v>
      </c>
      <c r="BT892" t="str">
        <f>HYPERLINK("https%3A%2F%2Fwww.webofscience.com%2Fwos%2Fwoscc%2Ffull-record%2FWOS:000240312800096","View Full Record in Web of Science")</f>
        <v>View Full Record in Web of Science</v>
      </c>
    </row>
    <row r="893" spans="1:72" x14ac:dyDescent="0.15">
      <c r="A893" t="s">
        <v>12866</v>
      </c>
      <c r="B893" t="s">
        <v>13337</v>
      </c>
      <c r="C893" t="s">
        <v>74</v>
      </c>
      <c r="D893" t="s">
        <v>13310</v>
      </c>
      <c r="E893" t="s">
        <v>74</v>
      </c>
      <c r="F893" t="s">
        <v>13338</v>
      </c>
      <c r="G893" t="s">
        <v>74</v>
      </c>
      <c r="H893" t="s">
        <v>74</v>
      </c>
      <c r="I893" t="s">
        <v>13339</v>
      </c>
      <c r="J893" t="s">
        <v>13313</v>
      </c>
      <c r="K893" t="s">
        <v>13314</v>
      </c>
      <c r="L893" t="s">
        <v>74</v>
      </c>
      <c r="M893" t="s">
        <v>78</v>
      </c>
      <c r="N893" t="s">
        <v>12873</v>
      </c>
      <c r="O893" t="s">
        <v>13315</v>
      </c>
      <c r="P893" t="s">
        <v>13316</v>
      </c>
      <c r="Q893" t="s">
        <v>1646</v>
      </c>
      <c r="R893" t="s">
        <v>74</v>
      </c>
      <c r="S893" t="s">
        <v>74</v>
      </c>
      <c r="T893" t="s">
        <v>13340</v>
      </c>
      <c r="U893" t="s">
        <v>13341</v>
      </c>
      <c r="V893" t="s">
        <v>13342</v>
      </c>
      <c r="W893" t="s">
        <v>13343</v>
      </c>
      <c r="X893" t="s">
        <v>74</v>
      </c>
      <c r="Y893" t="s">
        <v>13344</v>
      </c>
      <c r="Z893" t="s">
        <v>74</v>
      </c>
      <c r="AA893" t="s">
        <v>74</v>
      </c>
      <c r="AB893" t="s">
        <v>74</v>
      </c>
      <c r="AC893" t="s">
        <v>74</v>
      </c>
      <c r="AD893" t="s">
        <v>74</v>
      </c>
      <c r="AE893" t="s">
        <v>74</v>
      </c>
      <c r="AF893" t="s">
        <v>74</v>
      </c>
      <c r="AG893">
        <v>13</v>
      </c>
      <c r="AH893">
        <v>0</v>
      </c>
      <c r="AI893">
        <v>0</v>
      </c>
      <c r="AJ893">
        <v>0</v>
      </c>
      <c r="AK893">
        <v>2</v>
      </c>
      <c r="AL893" t="s">
        <v>13324</v>
      </c>
      <c r="AM893" t="s">
        <v>13325</v>
      </c>
      <c r="AN893" t="s">
        <v>13326</v>
      </c>
      <c r="AO893" t="s">
        <v>13327</v>
      </c>
      <c r="AP893" t="s">
        <v>74</v>
      </c>
      <c r="AQ893" t="s">
        <v>13329</v>
      </c>
      <c r="AR893" t="s">
        <v>13330</v>
      </c>
      <c r="AS893" t="s">
        <v>74</v>
      </c>
      <c r="AT893" t="s">
        <v>74</v>
      </c>
      <c r="AU893">
        <v>2006</v>
      </c>
      <c r="AV893">
        <v>6268</v>
      </c>
      <c r="AW893" t="s">
        <v>74</v>
      </c>
      <c r="AX893" t="s">
        <v>74</v>
      </c>
      <c r="AY893" t="s">
        <v>74</v>
      </c>
      <c r="AZ893" t="s">
        <v>74</v>
      </c>
      <c r="BA893" t="s">
        <v>74</v>
      </c>
      <c r="BB893" t="s">
        <v>74</v>
      </c>
      <c r="BC893" t="s">
        <v>74</v>
      </c>
      <c r="BD893">
        <v>626813</v>
      </c>
      <c r="BE893" t="s">
        <v>13345</v>
      </c>
      <c r="BF893" t="str">
        <f>HYPERLINK("http://dx.doi.org/10.1117/12.671800","http://dx.doi.org/10.1117/12.671800")</f>
        <v>http://dx.doi.org/10.1117/12.671800</v>
      </c>
      <c r="BG893" t="s">
        <v>74</v>
      </c>
      <c r="BH893" t="s">
        <v>74</v>
      </c>
      <c r="BI893">
        <v>7</v>
      </c>
      <c r="BJ893" t="s">
        <v>13333</v>
      </c>
      <c r="BK893" t="s">
        <v>12886</v>
      </c>
      <c r="BL893" t="s">
        <v>13334</v>
      </c>
      <c r="BM893" t="s">
        <v>13335</v>
      </c>
      <c r="BN893" t="s">
        <v>74</v>
      </c>
      <c r="BO893" t="s">
        <v>74</v>
      </c>
      <c r="BP893" t="s">
        <v>74</v>
      </c>
      <c r="BQ893" t="s">
        <v>74</v>
      </c>
      <c r="BR893" t="s">
        <v>100</v>
      </c>
      <c r="BS893" t="s">
        <v>13346</v>
      </c>
      <c r="BT893" t="str">
        <f>HYPERLINK("https%3A%2F%2Fwww.webofscience.com%2Fwos%2Fwoscc%2Ffull-record%2FWOS:000240312800037","View Full Record in Web of Science")</f>
        <v>View Full Record in Web of Science</v>
      </c>
    </row>
    <row r="894" spans="1:72" x14ac:dyDescent="0.15">
      <c r="A894" t="s">
        <v>12866</v>
      </c>
      <c r="B894" t="s">
        <v>13347</v>
      </c>
      <c r="C894" t="s">
        <v>74</v>
      </c>
      <c r="D894" t="s">
        <v>13310</v>
      </c>
      <c r="E894" t="s">
        <v>74</v>
      </c>
      <c r="F894" t="s">
        <v>13348</v>
      </c>
      <c r="G894" t="s">
        <v>74</v>
      </c>
      <c r="H894" t="s">
        <v>74</v>
      </c>
      <c r="I894" t="s">
        <v>13349</v>
      </c>
      <c r="J894" t="s">
        <v>13313</v>
      </c>
      <c r="K894" t="s">
        <v>13314</v>
      </c>
      <c r="L894" t="s">
        <v>74</v>
      </c>
      <c r="M894" t="s">
        <v>78</v>
      </c>
      <c r="N894" t="s">
        <v>12873</v>
      </c>
      <c r="O894" t="s">
        <v>13315</v>
      </c>
      <c r="P894" t="s">
        <v>13316</v>
      </c>
      <c r="Q894" t="s">
        <v>1646</v>
      </c>
      <c r="R894" t="s">
        <v>74</v>
      </c>
      <c r="S894" t="s">
        <v>74</v>
      </c>
      <c r="T894" t="s">
        <v>13350</v>
      </c>
      <c r="U894" t="s">
        <v>74</v>
      </c>
      <c r="V894" t="s">
        <v>13351</v>
      </c>
      <c r="W894" t="s">
        <v>13352</v>
      </c>
      <c r="X894" t="s">
        <v>13353</v>
      </c>
      <c r="Y894" t="s">
        <v>13354</v>
      </c>
      <c r="Z894" t="s">
        <v>74</v>
      </c>
      <c r="AA894" t="s">
        <v>74</v>
      </c>
      <c r="AB894" t="s">
        <v>74</v>
      </c>
      <c r="AC894" t="s">
        <v>74</v>
      </c>
      <c r="AD894" t="s">
        <v>74</v>
      </c>
      <c r="AE894" t="s">
        <v>74</v>
      </c>
      <c r="AF894" t="s">
        <v>74</v>
      </c>
      <c r="AG894">
        <v>5</v>
      </c>
      <c r="AH894">
        <v>4</v>
      </c>
      <c r="AI894">
        <v>4</v>
      </c>
      <c r="AJ894">
        <v>0</v>
      </c>
      <c r="AK894">
        <v>0</v>
      </c>
      <c r="AL894" t="s">
        <v>13324</v>
      </c>
      <c r="AM894" t="s">
        <v>13325</v>
      </c>
      <c r="AN894" t="s">
        <v>13326</v>
      </c>
      <c r="AO894" t="s">
        <v>13327</v>
      </c>
      <c r="AP894" t="s">
        <v>74</v>
      </c>
      <c r="AQ894" t="s">
        <v>13329</v>
      </c>
      <c r="AR894" t="s">
        <v>13330</v>
      </c>
      <c r="AS894" t="s">
        <v>74</v>
      </c>
      <c r="AT894" t="s">
        <v>74</v>
      </c>
      <c r="AU894">
        <v>2006</v>
      </c>
      <c r="AV894">
        <v>6268</v>
      </c>
      <c r="AW894" t="s">
        <v>74</v>
      </c>
      <c r="AX894" t="s">
        <v>74</v>
      </c>
      <c r="AY894" t="s">
        <v>74</v>
      </c>
      <c r="AZ894" t="s">
        <v>74</v>
      </c>
      <c r="BA894" t="s">
        <v>74</v>
      </c>
      <c r="BB894" t="s">
        <v>74</v>
      </c>
      <c r="BC894" t="s">
        <v>74</v>
      </c>
      <c r="BD894">
        <v>626810</v>
      </c>
      <c r="BE894" t="s">
        <v>13355</v>
      </c>
      <c r="BF894" t="str">
        <f>HYPERLINK("http://dx.doi.org/10.1117/12.672370","http://dx.doi.org/10.1117/12.672370")</f>
        <v>http://dx.doi.org/10.1117/12.672370</v>
      </c>
      <c r="BG894" t="s">
        <v>74</v>
      </c>
      <c r="BH894" t="s">
        <v>74</v>
      </c>
      <c r="BI894">
        <v>5</v>
      </c>
      <c r="BJ894" t="s">
        <v>13333</v>
      </c>
      <c r="BK894" t="s">
        <v>12886</v>
      </c>
      <c r="BL894" t="s">
        <v>13334</v>
      </c>
      <c r="BM894" t="s">
        <v>13335</v>
      </c>
      <c r="BN894" t="s">
        <v>74</v>
      </c>
      <c r="BO894" t="s">
        <v>147</v>
      </c>
      <c r="BP894" t="s">
        <v>74</v>
      </c>
      <c r="BQ894" t="s">
        <v>74</v>
      </c>
      <c r="BR894" t="s">
        <v>100</v>
      </c>
      <c r="BS894" t="s">
        <v>13356</v>
      </c>
      <c r="BT894" t="str">
        <f>HYPERLINK("https%3A%2F%2Fwww.webofscience.com%2Fwos%2Fwoscc%2Ffull-record%2FWOS:000240312800034","View Full Record in Web of Science")</f>
        <v>View Full Record in Web of Science</v>
      </c>
    </row>
    <row r="895" spans="1:72" x14ac:dyDescent="0.15">
      <c r="A895" t="s">
        <v>12866</v>
      </c>
      <c r="B895" t="s">
        <v>13357</v>
      </c>
      <c r="C895" t="s">
        <v>74</v>
      </c>
      <c r="D895" t="s">
        <v>13310</v>
      </c>
      <c r="E895" t="s">
        <v>74</v>
      </c>
      <c r="F895" t="s">
        <v>13358</v>
      </c>
      <c r="G895" t="s">
        <v>74</v>
      </c>
      <c r="H895" t="s">
        <v>74</v>
      </c>
      <c r="I895" t="s">
        <v>13359</v>
      </c>
      <c r="J895" t="s">
        <v>13313</v>
      </c>
      <c r="K895" t="s">
        <v>13314</v>
      </c>
      <c r="L895" t="s">
        <v>74</v>
      </c>
      <c r="M895" t="s">
        <v>78</v>
      </c>
      <c r="N895" t="s">
        <v>12873</v>
      </c>
      <c r="O895" t="s">
        <v>13315</v>
      </c>
      <c r="P895" t="s">
        <v>13316</v>
      </c>
      <c r="Q895" t="s">
        <v>1646</v>
      </c>
      <c r="R895" t="s">
        <v>74</v>
      </c>
      <c r="S895" t="s">
        <v>74</v>
      </c>
      <c r="T895" t="s">
        <v>13360</v>
      </c>
      <c r="U895" t="s">
        <v>74</v>
      </c>
      <c r="V895" t="s">
        <v>13361</v>
      </c>
      <c r="W895" t="s">
        <v>13362</v>
      </c>
      <c r="X895" t="s">
        <v>13363</v>
      </c>
      <c r="Y895" t="s">
        <v>13364</v>
      </c>
      <c r="Z895" t="s">
        <v>13365</v>
      </c>
      <c r="AA895" t="s">
        <v>74</v>
      </c>
      <c r="AB895" t="s">
        <v>74</v>
      </c>
      <c r="AC895" t="s">
        <v>74</v>
      </c>
      <c r="AD895" t="s">
        <v>74</v>
      </c>
      <c r="AE895" t="s">
        <v>74</v>
      </c>
      <c r="AF895" t="s">
        <v>74</v>
      </c>
      <c r="AG895">
        <v>7</v>
      </c>
      <c r="AH895">
        <v>0</v>
      </c>
      <c r="AI895">
        <v>0</v>
      </c>
      <c r="AJ895">
        <v>0</v>
      </c>
      <c r="AK895">
        <v>0</v>
      </c>
      <c r="AL895" t="s">
        <v>13324</v>
      </c>
      <c r="AM895" t="s">
        <v>13325</v>
      </c>
      <c r="AN895" t="s">
        <v>13326</v>
      </c>
      <c r="AO895" t="s">
        <v>13327</v>
      </c>
      <c r="AP895" t="s">
        <v>74</v>
      </c>
      <c r="AQ895" t="s">
        <v>13329</v>
      </c>
      <c r="AR895" t="s">
        <v>13330</v>
      </c>
      <c r="AS895" t="s">
        <v>74</v>
      </c>
      <c r="AT895" t="s">
        <v>74</v>
      </c>
      <c r="AU895">
        <v>2006</v>
      </c>
      <c r="AV895">
        <v>6268</v>
      </c>
      <c r="AW895" t="s">
        <v>74</v>
      </c>
      <c r="AX895" t="s">
        <v>74</v>
      </c>
      <c r="AY895" t="s">
        <v>74</v>
      </c>
      <c r="AZ895" t="s">
        <v>74</v>
      </c>
      <c r="BA895" t="s">
        <v>74</v>
      </c>
      <c r="BB895" t="s">
        <v>74</v>
      </c>
      <c r="BC895" t="s">
        <v>74</v>
      </c>
      <c r="BD895" t="s">
        <v>13366</v>
      </c>
      <c r="BE895" t="s">
        <v>13367</v>
      </c>
      <c r="BF895" t="str">
        <f>HYPERLINK("http://dx.doi.org/10.1117/12.672653","http://dx.doi.org/10.1117/12.672653")</f>
        <v>http://dx.doi.org/10.1117/12.672653</v>
      </c>
      <c r="BG895" t="s">
        <v>74</v>
      </c>
      <c r="BH895" t="s">
        <v>74</v>
      </c>
      <c r="BI895">
        <v>9</v>
      </c>
      <c r="BJ895" t="s">
        <v>13333</v>
      </c>
      <c r="BK895" t="s">
        <v>12886</v>
      </c>
      <c r="BL895" t="s">
        <v>13334</v>
      </c>
      <c r="BM895" t="s">
        <v>13335</v>
      </c>
      <c r="BN895" t="s">
        <v>74</v>
      </c>
      <c r="BO895" t="s">
        <v>74</v>
      </c>
      <c r="BP895" t="s">
        <v>74</v>
      </c>
      <c r="BQ895" t="s">
        <v>74</v>
      </c>
      <c r="BR895" t="s">
        <v>100</v>
      </c>
      <c r="BS895" t="s">
        <v>13368</v>
      </c>
      <c r="BT895" t="str">
        <f>HYPERLINK("https%3A%2F%2Fwww.webofscience.com%2Fwos%2Fwoscc%2Ffull-record%2FWOS:000240312800141","View Full Record in Web of Science")</f>
        <v>View Full Record in Web of Science</v>
      </c>
    </row>
    <row r="896" spans="1:72" x14ac:dyDescent="0.15">
      <c r="A896" t="s">
        <v>12866</v>
      </c>
      <c r="B896" t="s">
        <v>13369</v>
      </c>
      <c r="C896" t="s">
        <v>74</v>
      </c>
      <c r="D896" t="s">
        <v>13310</v>
      </c>
      <c r="E896" t="s">
        <v>74</v>
      </c>
      <c r="F896" t="s">
        <v>13370</v>
      </c>
      <c r="G896" t="s">
        <v>74</v>
      </c>
      <c r="H896" t="s">
        <v>74</v>
      </c>
      <c r="I896" t="s">
        <v>13371</v>
      </c>
      <c r="J896" t="s">
        <v>13313</v>
      </c>
      <c r="K896" t="s">
        <v>13314</v>
      </c>
      <c r="L896" t="s">
        <v>74</v>
      </c>
      <c r="M896" t="s">
        <v>78</v>
      </c>
      <c r="N896" t="s">
        <v>12873</v>
      </c>
      <c r="O896" t="s">
        <v>13315</v>
      </c>
      <c r="P896" t="s">
        <v>13316</v>
      </c>
      <c r="Q896" t="s">
        <v>1646</v>
      </c>
      <c r="R896" t="s">
        <v>74</v>
      </c>
      <c r="S896" t="s">
        <v>74</v>
      </c>
      <c r="T896" t="s">
        <v>13372</v>
      </c>
      <c r="U896" t="s">
        <v>74</v>
      </c>
      <c r="V896" t="s">
        <v>13373</v>
      </c>
      <c r="W896" t="s">
        <v>13374</v>
      </c>
      <c r="X896" t="s">
        <v>13375</v>
      </c>
      <c r="Y896" t="s">
        <v>13376</v>
      </c>
      <c r="Z896" t="s">
        <v>13365</v>
      </c>
      <c r="AA896" t="s">
        <v>74</v>
      </c>
      <c r="AB896" t="s">
        <v>74</v>
      </c>
      <c r="AC896" t="s">
        <v>74</v>
      </c>
      <c r="AD896" t="s">
        <v>74</v>
      </c>
      <c r="AE896" t="s">
        <v>74</v>
      </c>
      <c r="AF896" t="s">
        <v>74</v>
      </c>
      <c r="AG896">
        <v>18</v>
      </c>
      <c r="AH896">
        <v>1</v>
      </c>
      <c r="AI896">
        <v>1</v>
      </c>
      <c r="AJ896">
        <v>0</v>
      </c>
      <c r="AK896">
        <v>0</v>
      </c>
      <c r="AL896" t="s">
        <v>13324</v>
      </c>
      <c r="AM896" t="s">
        <v>13325</v>
      </c>
      <c r="AN896" t="s">
        <v>13326</v>
      </c>
      <c r="AO896" t="s">
        <v>13327</v>
      </c>
      <c r="AP896" t="s">
        <v>74</v>
      </c>
      <c r="AQ896" t="s">
        <v>13329</v>
      </c>
      <c r="AR896" t="s">
        <v>13330</v>
      </c>
      <c r="AS896" t="s">
        <v>74</v>
      </c>
      <c r="AT896" t="s">
        <v>74</v>
      </c>
      <c r="AU896">
        <v>2006</v>
      </c>
      <c r="AV896">
        <v>6268</v>
      </c>
      <c r="AW896" t="s">
        <v>74</v>
      </c>
      <c r="AX896" t="s">
        <v>74</v>
      </c>
      <c r="AY896" t="s">
        <v>74</v>
      </c>
      <c r="AZ896" t="s">
        <v>74</v>
      </c>
      <c r="BA896" t="s">
        <v>74</v>
      </c>
      <c r="BB896" t="s">
        <v>74</v>
      </c>
      <c r="BC896" t="s">
        <v>74</v>
      </c>
      <c r="BD896">
        <v>626814</v>
      </c>
      <c r="BE896" t="s">
        <v>13377</v>
      </c>
      <c r="BF896" t="str">
        <f>HYPERLINK("http://dx.doi.org/10.1117/12.672346","http://dx.doi.org/10.1117/12.672346")</f>
        <v>http://dx.doi.org/10.1117/12.672346</v>
      </c>
      <c r="BG896" t="s">
        <v>74</v>
      </c>
      <c r="BH896" t="s">
        <v>74</v>
      </c>
      <c r="BI896">
        <v>12</v>
      </c>
      <c r="BJ896" t="s">
        <v>13333</v>
      </c>
      <c r="BK896" t="s">
        <v>12886</v>
      </c>
      <c r="BL896" t="s">
        <v>13334</v>
      </c>
      <c r="BM896" t="s">
        <v>13335</v>
      </c>
      <c r="BN896" t="s">
        <v>74</v>
      </c>
      <c r="BO896" t="s">
        <v>74</v>
      </c>
      <c r="BP896" t="s">
        <v>74</v>
      </c>
      <c r="BQ896" t="s">
        <v>74</v>
      </c>
      <c r="BR896" t="s">
        <v>100</v>
      </c>
      <c r="BS896" t="s">
        <v>13378</v>
      </c>
      <c r="BT896" t="str">
        <f>HYPERLINK("https%3A%2F%2Fwww.webofscience.com%2Fwos%2Fwoscc%2Ffull-record%2FWOS:000240312800038","View Full Record in Web of Science")</f>
        <v>View Full Record in Web of Science</v>
      </c>
    </row>
    <row r="897" spans="1:72" x14ac:dyDescent="0.15">
      <c r="A897" t="s">
        <v>72</v>
      </c>
      <c r="B897" t="s">
        <v>13379</v>
      </c>
      <c r="C897" t="s">
        <v>74</v>
      </c>
      <c r="D897" t="s">
        <v>74</v>
      </c>
      <c r="E897" t="s">
        <v>74</v>
      </c>
      <c r="F897" t="s">
        <v>13379</v>
      </c>
      <c r="G897" t="s">
        <v>74</v>
      </c>
      <c r="H897" t="s">
        <v>74</v>
      </c>
      <c r="I897" t="s">
        <v>13380</v>
      </c>
      <c r="J897" t="s">
        <v>13381</v>
      </c>
      <c r="K897" t="s">
        <v>74</v>
      </c>
      <c r="L897" t="s">
        <v>74</v>
      </c>
      <c r="M897" t="s">
        <v>78</v>
      </c>
      <c r="N897" t="s">
        <v>79</v>
      </c>
      <c r="O897" t="s">
        <v>74</v>
      </c>
      <c r="P897" t="s">
        <v>74</v>
      </c>
      <c r="Q897" t="s">
        <v>74</v>
      </c>
      <c r="R897" t="s">
        <v>74</v>
      </c>
      <c r="S897" t="s">
        <v>74</v>
      </c>
      <c r="T897" t="s">
        <v>13382</v>
      </c>
      <c r="U897" t="s">
        <v>13383</v>
      </c>
      <c r="V897" t="s">
        <v>13384</v>
      </c>
      <c r="W897" t="s">
        <v>13385</v>
      </c>
      <c r="X897" t="s">
        <v>13386</v>
      </c>
      <c r="Y897" t="s">
        <v>13387</v>
      </c>
      <c r="Z897" t="s">
        <v>13388</v>
      </c>
      <c r="AA897" t="s">
        <v>13389</v>
      </c>
      <c r="AB897" t="s">
        <v>13390</v>
      </c>
      <c r="AC897" t="s">
        <v>74</v>
      </c>
      <c r="AD897" t="s">
        <v>74</v>
      </c>
      <c r="AE897" t="s">
        <v>74</v>
      </c>
      <c r="AF897" t="s">
        <v>74</v>
      </c>
      <c r="AG897">
        <v>67</v>
      </c>
      <c r="AH897">
        <v>10</v>
      </c>
      <c r="AI897">
        <v>12</v>
      </c>
      <c r="AJ897">
        <v>0</v>
      </c>
      <c r="AK897">
        <v>4</v>
      </c>
      <c r="AL897" t="s">
        <v>136</v>
      </c>
      <c r="AM897" t="s">
        <v>137</v>
      </c>
      <c r="AN897" t="s">
        <v>138</v>
      </c>
      <c r="AO897" t="s">
        <v>13391</v>
      </c>
      <c r="AP897" t="s">
        <v>13392</v>
      </c>
      <c r="AQ897" t="s">
        <v>74</v>
      </c>
      <c r="AR897" t="s">
        <v>13381</v>
      </c>
      <c r="AS897" t="s">
        <v>13393</v>
      </c>
      <c r="AT897" t="s">
        <v>74</v>
      </c>
      <c r="AU897">
        <v>2006</v>
      </c>
      <c r="AV897">
        <v>30</v>
      </c>
      <c r="AW897">
        <v>1</v>
      </c>
      <c r="AX897" t="s">
        <v>74</v>
      </c>
      <c r="AY897" t="s">
        <v>74</v>
      </c>
      <c r="AZ897" t="s">
        <v>74</v>
      </c>
      <c r="BA897" t="s">
        <v>74</v>
      </c>
      <c r="BB897">
        <v>111</v>
      </c>
      <c r="BC897">
        <v>132</v>
      </c>
      <c r="BD897" t="s">
        <v>74</v>
      </c>
      <c r="BE897" t="s">
        <v>13394</v>
      </c>
      <c r="BF897" t="str">
        <f>HYPERLINK("http://dx.doi.org/10.1080/03115510608619348","http://dx.doi.org/10.1080/03115510608619348")</f>
        <v>http://dx.doi.org/10.1080/03115510608619348</v>
      </c>
      <c r="BG897" t="s">
        <v>74</v>
      </c>
      <c r="BH897" t="s">
        <v>74</v>
      </c>
      <c r="BI897">
        <v>22</v>
      </c>
      <c r="BJ897" t="s">
        <v>3916</v>
      </c>
      <c r="BK897" t="s">
        <v>97</v>
      </c>
      <c r="BL897" t="s">
        <v>3916</v>
      </c>
      <c r="BM897" t="s">
        <v>13395</v>
      </c>
      <c r="BN897" t="s">
        <v>74</v>
      </c>
      <c r="BO897" t="s">
        <v>74</v>
      </c>
      <c r="BP897" t="s">
        <v>74</v>
      </c>
      <c r="BQ897" t="s">
        <v>74</v>
      </c>
      <c r="BR897" t="s">
        <v>100</v>
      </c>
      <c r="BS897" t="s">
        <v>13396</v>
      </c>
      <c r="BT897" t="str">
        <f>HYPERLINK("https%3A%2F%2Fwww.webofscience.com%2Fwos%2Fwoscc%2Ffull-record%2FWOS:000237301100009","View Full Record in Web of Science")</f>
        <v>View Full Record in Web of Science</v>
      </c>
    </row>
    <row r="898" spans="1:72" x14ac:dyDescent="0.15">
      <c r="A898" t="s">
        <v>72</v>
      </c>
      <c r="B898" t="s">
        <v>13397</v>
      </c>
      <c r="C898" t="s">
        <v>74</v>
      </c>
      <c r="D898" t="s">
        <v>74</v>
      </c>
      <c r="E898" t="s">
        <v>74</v>
      </c>
      <c r="F898" t="s">
        <v>13398</v>
      </c>
      <c r="G898" t="s">
        <v>74</v>
      </c>
      <c r="H898" t="s">
        <v>74</v>
      </c>
      <c r="I898" t="s">
        <v>13399</v>
      </c>
      <c r="J898" t="s">
        <v>13381</v>
      </c>
      <c r="K898" t="s">
        <v>74</v>
      </c>
      <c r="L898" t="s">
        <v>74</v>
      </c>
      <c r="M898" t="s">
        <v>78</v>
      </c>
      <c r="N898" t="s">
        <v>511</v>
      </c>
      <c r="O898" t="s">
        <v>74</v>
      </c>
      <c r="P898" t="s">
        <v>74</v>
      </c>
      <c r="Q898" t="s">
        <v>74</v>
      </c>
      <c r="R898" t="s">
        <v>74</v>
      </c>
      <c r="S898" t="s">
        <v>74</v>
      </c>
      <c r="T898" t="s">
        <v>13400</v>
      </c>
      <c r="U898" t="s">
        <v>13401</v>
      </c>
      <c r="V898" t="s">
        <v>13402</v>
      </c>
      <c r="W898" t="s">
        <v>13403</v>
      </c>
      <c r="X898" t="s">
        <v>13404</v>
      </c>
      <c r="Y898" t="s">
        <v>13405</v>
      </c>
      <c r="Z898" t="s">
        <v>4632</v>
      </c>
      <c r="AA898" t="s">
        <v>74</v>
      </c>
      <c r="AB898" t="s">
        <v>74</v>
      </c>
      <c r="AC898" t="s">
        <v>74</v>
      </c>
      <c r="AD898" t="s">
        <v>74</v>
      </c>
      <c r="AE898" t="s">
        <v>74</v>
      </c>
      <c r="AF898" t="s">
        <v>74</v>
      </c>
      <c r="AG898">
        <v>108</v>
      </c>
      <c r="AH898">
        <v>2</v>
      </c>
      <c r="AI898">
        <v>2</v>
      </c>
      <c r="AJ898">
        <v>0</v>
      </c>
      <c r="AK898">
        <v>1</v>
      </c>
      <c r="AL898" t="s">
        <v>136</v>
      </c>
      <c r="AM898" t="s">
        <v>137</v>
      </c>
      <c r="AN898" t="s">
        <v>138</v>
      </c>
      <c r="AO898" t="s">
        <v>13391</v>
      </c>
      <c r="AP898" t="s">
        <v>13392</v>
      </c>
      <c r="AQ898" t="s">
        <v>74</v>
      </c>
      <c r="AR898" t="s">
        <v>13381</v>
      </c>
      <c r="AS898" t="s">
        <v>13393</v>
      </c>
      <c r="AT898" t="s">
        <v>74</v>
      </c>
      <c r="AU898">
        <v>2006</v>
      </c>
      <c r="AV898">
        <v>30</v>
      </c>
      <c r="AW898">
        <v>2</v>
      </c>
      <c r="AX898" t="s">
        <v>74</v>
      </c>
      <c r="AY898" t="s">
        <v>74</v>
      </c>
      <c r="AZ898" t="s">
        <v>74</v>
      </c>
      <c r="BA898" t="s">
        <v>74</v>
      </c>
      <c r="BB898">
        <v>315</v>
      </c>
      <c r="BC898">
        <v>341</v>
      </c>
      <c r="BD898" t="s">
        <v>74</v>
      </c>
      <c r="BE898" t="s">
        <v>13406</v>
      </c>
      <c r="BF898" t="str">
        <f>HYPERLINK("http://dx.doi.org/10.1080/03115510608619320","http://dx.doi.org/10.1080/03115510608619320")</f>
        <v>http://dx.doi.org/10.1080/03115510608619320</v>
      </c>
      <c r="BG898" t="s">
        <v>74</v>
      </c>
      <c r="BH898" t="s">
        <v>74</v>
      </c>
      <c r="BI898">
        <v>27</v>
      </c>
      <c r="BJ898" t="s">
        <v>3916</v>
      </c>
      <c r="BK898" t="s">
        <v>97</v>
      </c>
      <c r="BL898" t="s">
        <v>3916</v>
      </c>
      <c r="BM898" t="s">
        <v>13407</v>
      </c>
      <c r="BN898" t="s">
        <v>74</v>
      </c>
      <c r="BO898" t="s">
        <v>74</v>
      </c>
      <c r="BP898" t="s">
        <v>74</v>
      </c>
      <c r="BQ898" t="s">
        <v>74</v>
      </c>
      <c r="BR898" t="s">
        <v>100</v>
      </c>
      <c r="BS898" t="s">
        <v>13408</v>
      </c>
      <c r="BT898" t="str">
        <f>HYPERLINK("https%3A%2F%2Fwww.webofscience.com%2Fwos%2Fwoscc%2Ffull-record%2FWOS:000241740500009","View Full Record in Web of Science")</f>
        <v>View Full Record in Web of Science</v>
      </c>
    </row>
    <row r="899" spans="1:72" x14ac:dyDescent="0.15">
      <c r="A899" t="s">
        <v>72</v>
      </c>
      <c r="B899" t="s">
        <v>13409</v>
      </c>
      <c r="C899" t="s">
        <v>74</v>
      </c>
      <c r="D899" t="s">
        <v>74</v>
      </c>
      <c r="E899" t="s">
        <v>74</v>
      </c>
      <c r="F899" t="s">
        <v>13409</v>
      </c>
      <c r="G899" t="s">
        <v>74</v>
      </c>
      <c r="H899" t="s">
        <v>74</v>
      </c>
      <c r="I899" t="s">
        <v>13410</v>
      </c>
      <c r="J899" t="s">
        <v>6378</v>
      </c>
      <c r="K899" t="s">
        <v>74</v>
      </c>
      <c r="L899" t="s">
        <v>74</v>
      </c>
      <c r="M899" t="s">
        <v>78</v>
      </c>
      <c r="N899" t="s">
        <v>511</v>
      </c>
      <c r="O899" t="s">
        <v>74</v>
      </c>
      <c r="P899" t="s">
        <v>74</v>
      </c>
      <c r="Q899" t="s">
        <v>74</v>
      </c>
      <c r="R899" t="s">
        <v>74</v>
      </c>
      <c r="S899" t="s">
        <v>74</v>
      </c>
      <c r="T899" t="s">
        <v>13411</v>
      </c>
      <c r="U899" t="s">
        <v>13412</v>
      </c>
      <c r="V899" t="s">
        <v>13413</v>
      </c>
      <c r="W899" t="s">
        <v>13414</v>
      </c>
      <c r="X899" t="s">
        <v>13415</v>
      </c>
      <c r="Y899" t="s">
        <v>13416</v>
      </c>
      <c r="Z899" t="s">
        <v>13417</v>
      </c>
      <c r="AA899" t="s">
        <v>13418</v>
      </c>
      <c r="AB899" t="s">
        <v>13419</v>
      </c>
      <c r="AC899" t="s">
        <v>74</v>
      </c>
      <c r="AD899" t="s">
        <v>74</v>
      </c>
      <c r="AE899" t="s">
        <v>74</v>
      </c>
      <c r="AF899" t="s">
        <v>74</v>
      </c>
      <c r="AG899">
        <v>127</v>
      </c>
      <c r="AH899">
        <v>111</v>
      </c>
      <c r="AI899">
        <v>117</v>
      </c>
      <c r="AJ899">
        <v>0</v>
      </c>
      <c r="AK899">
        <v>67</v>
      </c>
      <c r="AL899" t="s">
        <v>1009</v>
      </c>
      <c r="AM899" t="s">
        <v>1010</v>
      </c>
      <c r="AN899" t="s">
        <v>1011</v>
      </c>
      <c r="AO899" t="s">
        <v>6388</v>
      </c>
      <c r="AP899" t="s">
        <v>6389</v>
      </c>
      <c r="AQ899" t="s">
        <v>74</v>
      </c>
      <c r="AR899" t="s">
        <v>6390</v>
      </c>
      <c r="AS899" t="s">
        <v>6391</v>
      </c>
      <c r="AT899" t="s">
        <v>13420</v>
      </c>
      <c r="AU899">
        <v>2006</v>
      </c>
      <c r="AV899">
        <v>384</v>
      </c>
      <c r="AW899">
        <v>1</v>
      </c>
      <c r="AX899" t="s">
        <v>74</v>
      </c>
      <c r="AY899" t="s">
        <v>74</v>
      </c>
      <c r="AZ899" t="s">
        <v>74</v>
      </c>
      <c r="BA899" t="s">
        <v>74</v>
      </c>
      <c r="BB899">
        <v>100</v>
      </c>
      <c r="BC899">
        <v>113</v>
      </c>
      <c r="BD899" t="s">
        <v>74</v>
      </c>
      <c r="BE899" t="s">
        <v>13421</v>
      </c>
      <c r="BF899" t="str">
        <f>HYPERLINK("http://dx.doi.org/10.1007/s00216-005-0029-2","http://dx.doi.org/10.1007/s00216-005-0029-2")</f>
        <v>http://dx.doi.org/10.1007/s00216-005-0029-2</v>
      </c>
      <c r="BG899" t="s">
        <v>74</v>
      </c>
      <c r="BH899" t="s">
        <v>74</v>
      </c>
      <c r="BI899">
        <v>14</v>
      </c>
      <c r="BJ899" t="s">
        <v>6394</v>
      </c>
      <c r="BK899" t="s">
        <v>97</v>
      </c>
      <c r="BL899" t="s">
        <v>6395</v>
      </c>
      <c r="BM899" t="s">
        <v>13422</v>
      </c>
      <c r="BN899">
        <v>16456933</v>
      </c>
      <c r="BO899" t="s">
        <v>74</v>
      </c>
      <c r="BP899" t="s">
        <v>74</v>
      </c>
      <c r="BQ899" t="s">
        <v>74</v>
      </c>
      <c r="BR899" t="s">
        <v>100</v>
      </c>
      <c r="BS899" t="s">
        <v>13423</v>
      </c>
      <c r="BT899" t="str">
        <f>HYPERLINK("https%3A%2F%2Fwww.webofscience.com%2Fwos%2Fwoscc%2Ffull-record%2FWOS:000234976400020","View Full Record in Web of Science")</f>
        <v>View Full Record in Web of Science</v>
      </c>
    </row>
    <row r="900" spans="1:72" x14ac:dyDescent="0.15">
      <c r="A900" t="s">
        <v>72</v>
      </c>
      <c r="B900" t="s">
        <v>13424</v>
      </c>
      <c r="C900" t="s">
        <v>74</v>
      </c>
      <c r="D900" t="s">
        <v>74</v>
      </c>
      <c r="E900" t="s">
        <v>74</v>
      </c>
      <c r="F900" t="s">
        <v>13424</v>
      </c>
      <c r="G900" t="s">
        <v>74</v>
      </c>
      <c r="H900" t="s">
        <v>74</v>
      </c>
      <c r="I900" t="s">
        <v>13425</v>
      </c>
      <c r="J900" t="s">
        <v>6378</v>
      </c>
      <c r="K900" t="s">
        <v>74</v>
      </c>
      <c r="L900" t="s">
        <v>74</v>
      </c>
      <c r="M900" t="s">
        <v>78</v>
      </c>
      <c r="N900" t="s">
        <v>79</v>
      </c>
      <c r="O900" t="s">
        <v>74</v>
      </c>
      <c r="P900" t="s">
        <v>74</v>
      </c>
      <c r="Q900" t="s">
        <v>74</v>
      </c>
      <c r="R900" t="s">
        <v>74</v>
      </c>
      <c r="S900" t="s">
        <v>74</v>
      </c>
      <c r="T900" t="s">
        <v>13426</v>
      </c>
      <c r="U900" t="s">
        <v>13427</v>
      </c>
      <c r="V900" t="s">
        <v>13428</v>
      </c>
      <c r="W900" t="s">
        <v>13429</v>
      </c>
      <c r="X900" t="s">
        <v>13430</v>
      </c>
      <c r="Y900" t="s">
        <v>13431</v>
      </c>
      <c r="Z900" t="s">
        <v>13432</v>
      </c>
      <c r="AA900" t="s">
        <v>13433</v>
      </c>
      <c r="AB900" t="s">
        <v>13434</v>
      </c>
      <c r="AC900" t="s">
        <v>74</v>
      </c>
      <c r="AD900" t="s">
        <v>74</v>
      </c>
      <c r="AE900" t="s">
        <v>74</v>
      </c>
      <c r="AF900" t="s">
        <v>74</v>
      </c>
      <c r="AG900">
        <v>20</v>
      </c>
      <c r="AH900">
        <v>28</v>
      </c>
      <c r="AI900">
        <v>30</v>
      </c>
      <c r="AJ900">
        <v>2</v>
      </c>
      <c r="AK900">
        <v>40</v>
      </c>
      <c r="AL900" t="s">
        <v>1009</v>
      </c>
      <c r="AM900" t="s">
        <v>1010</v>
      </c>
      <c r="AN900" t="s">
        <v>1011</v>
      </c>
      <c r="AO900" t="s">
        <v>6388</v>
      </c>
      <c r="AP900" t="s">
        <v>74</v>
      </c>
      <c r="AQ900" t="s">
        <v>74</v>
      </c>
      <c r="AR900" t="s">
        <v>6390</v>
      </c>
      <c r="AS900" t="s">
        <v>6391</v>
      </c>
      <c r="AT900" t="s">
        <v>13420</v>
      </c>
      <c r="AU900">
        <v>2006</v>
      </c>
      <c r="AV900">
        <v>384</v>
      </c>
      <c r="AW900">
        <v>1</v>
      </c>
      <c r="AX900" t="s">
        <v>74</v>
      </c>
      <c r="AY900" t="s">
        <v>74</v>
      </c>
      <c r="AZ900" t="s">
        <v>74</v>
      </c>
      <c r="BA900" t="s">
        <v>74</v>
      </c>
      <c r="BB900">
        <v>244</v>
      </c>
      <c r="BC900">
        <v>249</v>
      </c>
      <c r="BD900" t="s">
        <v>74</v>
      </c>
      <c r="BE900" t="s">
        <v>13435</v>
      </c>
      <c r="BF900" t="str">
        <f>HYPERLINK("http://dx.doi.org/10.1007/s00216-005-0163-x","http://dx.doi.org/10.1007/s00216-005-0163-x")</f>
        <v>http://dx.doi.org/10.1007/s00216-005-0163-x</v>
      </c>
      <c r="BG900" t="s">
        <v>74</v>
      </c>
      <c r="BH900" t="s">
        <v>74</v>
      </c>
      <c r="BI900">
        <v>6</v>
      </c>
      <c r="BJ900" t="s">
        <v>6394</v>
      </c>
      <c r="BK900" t="s">
        <v>97</v>
      </c>
      <c r="BL900" t="s">
        <v>6395</v>
      </c>
      <c r="BM900" t="s">
        <v>13422</v>
      </c>
      <c r="BN900">
        <v>16283261</v>
      </c>
      <c r="BO900" t="s">
        <v>74</v>
      </c>
      <c r="BP900" t="s">
        <v>74</v>
      </c>
      <c r="BQ900" t="s">
        <v>74</v>
      </c>
      <c r="BR900" t="s">
        <v>100</v>
      </c>
      <c r="BS900" t="s">
        <v>13436</v>
      </c>
      <c r="BT900" t="str">
        <f>HYPERLINK("https%3A%2F%2Fwww.webofscience.com%2Fwos%2Fwoscc%2Ffull-record%2FWOS:000234976400037","View Full Record in Web of Science")</f>
        <v>View Full Record in Web of Science</v>
      </c>
    </row>
    <row r="901" spans="1:72" x14ac:dyDescent="0.15">
      <c r="A901" t="s">
        <v>72</v>
      </c>
      <c r="B901" t="s">
        <v>13437</v>
      </c>
      <c r="C901" t="s">
        <v>74</v>
      </c>
      <c r="D901" t="s">
        <v>74</v>
      </c>
      <c r="E901" t="s">
        <v>74</v>
      </c>
      <c r="F901" t="s">
        <v>13437</v>
      </c>
      <c r="G901" t="s">
        <v>74</v>
      </c>
      <c r="H901" t="s">
        <v>74</v>
      </c>
      <c r="I901" t="s">
        <v>13438</v>
      </c>
      <c r="J901" t="s">
        <v>13439</v>
      </c>
      <c r="K901" t="s">
        <v>74</v>
      </c>
      <c r="L901" t="s">
        <v>74</v>
      </c>
      <c r="M901" t="s">
        <v>78</v>
      </c>
      <c r="N901" t="s">
        <v>79</v>
      </c>
      <c r="O901" t="s">
        <v>74</v>
      </c>
      <c r="P901" t="s">
        <v>74</v>
      </c>
      <c r="Q901" t="s">
        <v>74</v>
      </c>
      <c r="R901" t="s">
        <v>74</v>
      </c>
      <c r="S901" t="s">
        <v>74</v>
      </c>
      <c r="T901" t="s">
        <v>13440</v>
      </c>
      <c r="U901" t="s">
        <v>13441</v>
      </c>
      <c r="V901" t="s">
        <v>13442</v>
      </c>
      <c r="W901" t="s">
        <v>13443</v>
      </c>
      <c r="X901" t="s">
        <v>13444</v>
      </c>
      <c r="Y901" t="s">
        <v>13445</v>
      </c>
      <c r="Z901" t="s">
        <v>13446</v>
      </c>
      <c r="AA901" t="s">
        <v>13447</v>
      </c>
      <c r="AB901" t="s">
        <v>13448</v>
      </c>
      <c r="AC901" t="s">
        <v>74</v>
      </c>
      <c r="AD901" t="s">
        <v>74</v>
      </c>
      <c r="AE901" t="s">
        <v>74</v>
      </c>
      <c r="AF901" t="s">
        <v>74</v>
      </c>
      <c r="AG901">
        <v>4</v>
      </c>
      <c r="AH901">
        <v>3</v>
      </c>
      <c r="AI901">
        <v>3</v>
      </c>
      <c r="AJ901">
        <v>0</v>
      </c>
      <c r="AK901">
        <v>0</v>
      </c>
      <c r="AL901" t="s">
        <v>1893</v>
      </c>
      <c r="AM901" t="s">
        <v>1894</v>
      </c>
      <c r="AN901" t="s">
        <v>1895</v>
      </c>
      <c r="AO901" t="s">
        <v>13449</v>
      </c>
      <c r="AP901" t="s">
        <v>13450</v>
      </c>
      <c r="AQ901" t="s">
        <v>74</v>
      </c>
      <c r="AR901" t="s">
        <v>13451</v>
      </c>
      <c r="AS901" t="s">
        <v>13452</v>
      </c>
      <c r="AT901" t="s">
        <v>74</v>
      </c>
      <c r="AU901">
        <v>2006</v>
      </c>
      <c r="AV901">
        <v>24</v>
      </c>
      <c r="AW901">
        <v>1</v>
      </c>
      <c r="AX901" t="s">
        <v>74</v>
      </c>
      <c r="AY901" t="s">
        <v>74</v>
      </c>
      <c r="AZ901" t="s">
        <v>74</v>
      </c>
      <c r="BA901" t="s">
        <v>74</v>
      </c>
      <c r="BB901">
        <v>3</v>
      </c>
      <c r="BC901">
        <v>6</v>
      </c>
      <c r="BD901" t="s">
        <v>74</v>
      </c>
      <c r="BE901" t="s">
        <v>13453</v>
      </c>
      <c r="BF901" t="str">
        <f>HYPERLINK("http://dx.doi.org/10.5194/angeo-24-3-2006","http://dx.doi.org/10.5194/angeo-24-3-2006")</f>
        <v>http://dx.doi.org/10.5194/angeo-24-3-2006</v>
      </c>
      <c r="BG901" t="s">
        <v>74</v>
      </c>
      <c r="BH901" t="s">
        <v>74</v>
      </c>
      <c r="BI901">
        <v>4</v>
      </c>
      <c r="BJ901" t="s">
        <v>13454</v>
      </c>
      <c r="BK901" t="s">
        <v>97</v>
      </c>
      <c r="BL901" t="s">
        <v>13455</v>
      </c>
      <c r="BM901" t="s">
        <v>13456</v>
      </c>
      <c r="BN901" t="s">
        <v>74</v>
      </c>
      <c r="BO901" t="s">
        <v>10886</v>
      </c>
      <c r="BP901" t="s">
        <v>74</v>
      </c>
      <c r="BQ901" t="s">
        <v>74</v>
      </c>
      <c r="BR901" t="s">
        <v>100</v>
      </c>
      <c r="BS901" t="s">
        <v>13457</v>
      </c>
      <c r="BT901" t="str">
        <f>HYPERLINK("https%3A%2F%2Fwww.webofscience.com%2Fwos%2Fwoscc%2Ffull-record%2FWOS:000236610900001","View Full Record in Web of Science")</f>
        <v>View Full Record in Web of Science</v>
      </c>
    </row>
    <row r="902" spans="1:72" x14ac:dyDescent="0.15">
      <c r="A902" t="s">
        <v>72</v>
      </c>
      <c r="B902" t="s">
        <v>13458</v>
      </c>
      <c r="C902" t="s">
        <v>74</v>
      </c>
      <c r="D902" t="s">
        <v>74</v>
      </c>
      <c r="E902" t="s">
        <v>74</v>
      </c>
      <c r="F902" t="s">
        <v>13458</v>
      </c>
      <c r="G902" t="s">
        <v>74</v>
      </c>
      <c r="H902" t="s">
        <v>74</v>
      </c>
      <c r="I902" t="s">
        <v>13459</v>
      </c>
      <c r="J902" t="s">
        <v>13439</v>
      </c>
      <c r="K902" t="s">
        <v>74</v>
      </c>
      <c r="L902" t="s">
        <v>74</v>
      </c>
      <c r="M902" t="s">
        <v>78</v>
      </c>
      <c r="N902" t="s">
        <v>79</v>
      </c>
      <c r="O902" t="s">
        <v>74</v>
      </c>
      <c r="P902" t="s">
        <v>74</v>
      </c>
      <c r="Q902" t="s">
        <v>74</v>
      </c>
      <c r="R902" t="s">
        <v>74</v>
      </c>
      <c r="S902" t="s">
        <v>74</v>
      </c>
      <c r="T902" t="s">
        <v>13460</v>
      </c>
      <c r="U902" t="s">
        <v>13461</v>
      </c>
      <c r="V902" t="s">
        <v>13462</v>
      </c>
      <c r="W902" t="s">
        <v>13463</v>
      </c>
      <c r="X902" t="s">
        <v>13464</v>
      </c>
      <c r="Y902" t="s">
        <v>13465</v>
      </c>
      <c r="Z902" t="s">
        <v>13466</v>
      </c>
      <c r="AA902" t="s">
        <v>13467</v>
      </c>
      <c r="AB902" t="s">
        <v>12019</v>
      </c>
      <c r="AC902" t="s">
        <v>74</v>
      </c>
      <c r="AD902" t="s">
        <v>74</v>
      </c>
      <c r="AE902" t="s">
        <v>74</v>
      </c>
      <c r="AF902" t="s">
        <v>74</v>
      </c>
      <c r="AG902">
        <v>35</v>
      </c>
      <c r="AH902">
        <v>39</v>
      </c>
      <c r="AI902">
        <v>46</v>
      </c>
      <c r="AJ902">
        <v>0</v>
      </c>
      <c r="AK902">
        <v>8</v>
      </c>
      <c r="AL902" t="s">
        <v>1893</v>
      </c>
      <c r="AM902" t="s">
        <v>1894</v>
      </c>
      <c r="AN902" t="s">
        <v>1895</v>
      </c>
      <c r="AO902" t="s">
        <v>13449</v>
      </c>
      <c r="AP902" t="s">
        <v>13450</v>
      </c>
      <c r="AQ902" t="s">
        <v>74</v>
      </c>
      <c r="AR902" t="s">
        <v>13451</v>
      </c>
      <c r="AS902" t="s">
        <v>13452</v>
      </c>
      <c r="AT902" t="s">
        <v>74</v>
      </c>
      <c r="AU902">
        <v>2006</v>
      </c>
      <c r="AV902">
        <v>24</v>
      </c>
      <c r="AW902">
        <v>1</v>
      </c>
      <c r="AX902" t="s">
        <v>74</v>
      </c>
      <c r="AY902" t="s">
        <v>74</v>
      </c>
      <c r="AZ902" t="s">
        <v>74</v>
      </c>
      <c r="BA902" t="s">
        <v>74</v>
      </c>
      <c r="BB902">
        <v>81</v>
      </c>
      <c r="BC902">
        <v>88</v>
      </c>
      <c r="BD902" t="s">
        <v>74</v>
      </c>
      <c r="BE902" t="s">
        <v>13468</v>
      </c>
      <c r="BF902" t="str">
        <f>HYPERLINK("http://dx.doi.org/10.5194/angeo-24-81-2006","http://dx.doi.org/10.5194/angeo-24-81-2006")</f>
        <v>http://dx.doi.org/10.5194/angeo-24-81-2006</v>
      </c>
      <c r="BG902" t="s">
        <v>74</v>
      </c>
      <c r="BH902" t="s">
        <v>74</v>
      </c>
      <c r="BI902">
        <v>8</v>
      </c>
      <c r="BJ902" t="s">
        <v>13454</v>
      </c>
      <c r="BK902" t="s">
        <v>97</v>
      </c>
      <c r="BL902" t="s">
        <v>13455</v>
      </c>
      <c r="BM902" t="s">
        <v>13456</v>
      </c>
      <c r="BN902" t="s">
        <v>74</v>
      </c>
      <c r="BO902" t="s">
        <v>13469</v>
      </c>
      <c r="BP902" t="s">
        <v>74</v>
      </c>
      <c r="BQ902" t="s">
        <v>74</v>
      </c>
      <c r="BR902" t="s">
        <v>100</v>
      </c>
      <c r="BS902" t="s">
        <v>13470</v>
      </c>
      <c r="BT902" t="str">
        <f>HYPERLINK("https%3A%2F%2Fwww.webofscience.com%2Fwos%2Fwoscc%2Ffull-record%2FWOS:000236610900006","View Full Record in Web of Science")</f>
        <v>View Full Record in Web of Science</v>
      </c>
    </row>
    <row r="903" spans="1:72" x14ac:dyDescent="0.15">
      <c r="A903" t="s">
        <v>72</v>
      </c>
      <c r="B903" t="s">
        <v>13471</v>
      </c>
      <c r="C903" t="s">
        <v>74</v>
      </c>
      <c r="D903" t="s">
        <v>74</v>
      </c>
      <c r="E903" t="s">
        <v>74</v>
      </c>
      <c r="F903" t="s">
        <v>13472</v>
      </c>
      <c r="G903" t="s">
        <v>74</v>
      </c>
      <c r="H903" t="s">
        <v>74</v>
      </c>
      <c r="I903" t="s">
        <v>13473</v>
      </c>
      <c r="J903" t="s">
        <v>13439</v>
      </c>
      <c r="K903" t="s">
        <v>74</v>
      </c>
      <c r="L903" t="s">
        <v>74</v>
      </c>
      <c r="M903" t="s">
        <v>78</v>
      </c>
      <c r="N903" t="s">
        <v>79</v>
      </c>
      <c r="O903" t="s">
        <v>74</v>
      </c>
      <c r="P903" t="s">
        <v>74</v>
      </c>
      <c r="Q903" t="s">
        <v>74</v>
      </c>
      <c r="R903" t="s">
        <v>74</v>
      </c>
      <c r="S903" t="s">
        <v>74</v>
      </c>
      <c r="T903" t="s">
        <v>13474</v>
      </c>
      <c r="U903" t="s">
        <v>13475</v>
      </c>
      <c r="V903" t="s">
        <v>13476</v>
      </c>
      <c r="W903" t="s">
        <v>13477</v>
      </c>
      <c r="X903" t="s">
        <v>13478</v>
      </c>
      <c r="Y903" t="s">
        <v>13479</v>
      </c>
      <c r="Z903" t="s">
        <v>13480</v>
      </c>
      <c r="AA903" t="s">
        <v>13481</v>
      </c>
      <c r="AB903" t="s">
        <v>13482</v>
      </c>
      <c r="AC903" t="s">
        <v>74</v>
      </c>
      <c r="AD903" t="s">
        <v>74</v>
      </c>
      <c r="AE903" t="s">
        <v>74</v>
      </c>
      <c r="AF903" t="s">
        <v>74</v>
      </c>
      <c r="AG903">
        <v>31</v>
      </c>
      <c r="AH903">
        <v>7</v>
      </c>
      <c r="AI903">
        <v>7</v>
      </c>
      <c r="AJ903">
        <v>0</v>
      </c>
      <c r="AK903">
        <v>2</v>
      </c>
      <c r="AL903" t="s">
        <v>1893</v>
      </c>
      <c r="AM903" t="s">
        <v>1894</v>
      </c>
      <c r="AN903" t="s">
        <v>1895</v>
      </c>
      <c r="AO903" t="s">
        <v>13449</v>
      </c>
      <c r="AP903" t="s">
        <v>13450</v>
      </c>
      <c r="AQ903" t="s">
        <v>74</v>
      </c>
      <c r="AR903" t="s">
        <v>13451</v>
      </c>
      <c r="AS903" t="s">
        <v>13452</v>
      </c>
      <c r="AT903" t="s">
        <v>74</v>
      </c>
      <c r="AU903">
        <v>2006</v>
      </c>
      <c r="AV903">
        <v>24</v>
      </c>
      <c r="AW903">
        <v>7</v>
      </c>
      <c r="AX903" t="s">
        <v>74</v>
      </c>
      <c r="AY903" t="s">
        <v>74</v>
      </c>
      <c r="AZ903" t="s">
        <v>74</v>
      </c>
      <c r="BA903" t="s">
        <v>74</v>
      </c>
      <c r="BB903">
        <v>1839</v>
      </c>
      <c r="BC903">
        <v>1849</v>
      </c>
      <c r="BD903" t="s">
        <v>74</v>
      </c>
      <c r="BE903" t="s">
        <v>13483</v>
      </c>
      <c r="BF903" t="str">
        <f>HYPERLINK("http://dx.doi.org/10.5194/angeo-24-1839-2006","http://dx.doi.org/10.5194/angeo-24-1839-2006")</f>
        <v>http://dx.doi.org/10.5194/angeo-24-1839-2006</v>
      </c>
      <c r="BG903" t="s">
        <v>74</v>
      </c>
      <c r="BH903" t="s">
        <v>74</v>
      </c>
      <c r="BI903">
        <v>11</v>
      </c>
      <c r="BJ903" t="s">
        <v>13454</v>
      </c>
      <c r="BK903" t="s">
        <v>97</v>
      </c>
      <c r="BL903" t="s">
        <v>13455</v>
      </c>
      <c r="BM903" t="s">
        <v>13484</v>
      </c>
      <c r="BN903" t="s">
        <v>74</v>
      </c>
      <c r="BO903" t="s">
        <v>1903</v>
      </c>
      <c r="BP903" t="s">
        <v>74</v>
      </c>
      <c r="BQ903" t="s">
        <v>74</v>
      </c>
      <c r="BR903" t="s">
        <v>100</v>
      </c>
      <c r="BS903" t="s">
        <v>13485</v>
      </c>
      <c r="BT903" t="str">
        <f>HYPERLINK("https%3A%2F%2Fwww.webofscience.com%2Fwos%2Fwoscc%2Ffull-record%2FWOS:000240367200007","View Full Record in Web of Science")</f>
        <v>View Full Record in Web of Science</v>
      </c>
    </row>
    <row r="904" spans="1:72" x14ac:dyDescent="0.15">
      <c r="A904" t="s">
        <v>72</v>
      </c>
      <c r="B904" t="s">
        <v>13486</v>
      </c>
      <c r="C904" t="s">
        <v>74</v>
      </c>
      <c r="D904" t="s">
        <v>74</v>
      </c>
      <c r="E904" t="s">
        <v>74</v>
      </c>
      <c r="F904" t="s">
        <v>13487</v>
      </c>
      <c r="G904" t="s">
        <v>74</v>
      </c>
      <c r="H904" t="s">
        <v>74</v>
      </c>
      <c r="I904" t="s">
        <v>13488</v>
      </c>
      <c r="J904" t="s">
        <v>13439</v>
      </c>
      <c r="K904" t="s">
        <v>74</v>
      </c>
      <c r="L904" t="s">
        <v>74</v>
      </c>
      <c r="M904" t="s">
        <v>78</v>
      </c>
      <c r="N904" t="s">
        <v>79</v>
      </c>
      <c r="O904" t="s">
        <v>74</v>
      </c>
      <c r="P904" t="s">
        <v>74</v>
      </c>
      <c r="Q904" t="s">
        <v>74</v>
      </c>
      <c r="R904" t="s">
        <v>74</v>
      </c>
      <c r="S904" t="s">
        <v>74</v>
      </c>
      <c r="T904" t="s">
        <v>13489</v>
      </c>
      <c r="U904" t="s">
        <v>13490</v>
      </c>
      <c r="V904" t="s">
        <v>13491</v>
      </c>
      <c r="W904" t="s">
        <v>13492</v>
      </c>
      <c r="X904" t="s">
        <v>7542</v>
      </c>
      <c r="Y904" t="s">
        <v>13493</v>
      </c>
      <c r="Z904" t="s">
        <v>13494</v>
      </c>
      <c r="AA904" t="s">
        <v>13495</v>
      </c>
      <c r="AB904" t="s">
        <v>7546</v>
      </c>
      <c r="AC904" t="s">
        <v>74</v>
      </c>
      <c r="AD904" t="s">
        <v>74</v>
      </c>
      <c r="AE904" t="s">
        <v>74</v>
      </c>
      <c r="AF904" t="s">
        <v>74</v>
      </c>
      <c r="AG904">
        <v>59</v>
      </c>
      <c r="AH904">
        <v>16</v>
      </c>
      <c r="AI904">
        <v>16</v>
      </c>
      <c r="AJ904">
        <v>0</v>
      </c>
      <c r="AK904">
        <v>3</v>
      </c>
      <c r="AL904" t="s">
        <v>1893</v>
      </c>
      <c r="AM904" t="s">
        <v>1894</v>
      </c>
      <c r="AN904" t="s">
        <v>1895</v>
      </c>
      <c r="AO904" t="s">
        <v>13449</v>
      </c>
      <c r="AP904" t="s">
        <v>13450</v>
      </c>
      <c r="AQ904" t="s">
        <v>74</v>
      </c>
      <c r="AR904" t="s">
        <v>13451</v>
      </c>
      <c r="AS904" t="s">
        <v>13452</v>
      </c>
      <c r="AT904" t="s">
        <v>74</v>
      </c>
      <c r="AU904">
        <v>2006</v>
      </c>
      <c r="AV904">
        <v>24</v>
      </c>
      <c r="AW904">
        <v>7</v>
      </c>
      <c r="AX904" t="s">
        <v>74</v>
      </c>
      <c r="AY904" t="s">
        <v>74</v>
      </c>
      <c r="AZ904" t="s">
        <v>74</v>
      </c>
      <c r="BA904" t="s">
        <v>74</v>
      </c>
      <c r="BB904">
        <v>2025</v>
      </c>
      <c r="BC904">
        <v>2041</v>
      </c>
      <c r="BD904" t="s">
        <v>74</v>
      </c>
      <c r="BE904" t="s">
        <v>13496</v>
      </c>
      <c r="BF904" t="str">
        <f>HYPERLINK("http://dx.doi.org/10.5194/angeo-24-2025-2006","http://dx.doi.org/10.5194/angeo-24-2025-2006")</f>
        <v>http://dx.doi.org/10.5194/angeo-24-2025-2006</v>
      </c>
      <c r="BG904" t="s">
        <v>74</v>
      </c>
      <c r="BH904" t="s">
        <v>74</v>
      </c>
      <c r="BI904">
        <v>17</v>
      </c>
      <c r="BJ904" t="s">
        <v>13454</v>
      </c>
      <c r="BK904" t="s">
        <v>97</v>
      </c>
      <c r="BL904" t="s">
        <v>13455</v>
      </c>
      <c r="BM904" t="s">
        <v>13484</v>
      </c>
      <c r="BN904" t="s">
        <v>74</v>
      </c>
      <c r="BO904" t="s">
        <v>13497</v>
      </c>
      <c r="BP904" t="s">
        <v>74</v>
      </c>
      <c r="BQ904" t="s">
        <v>74</v>
      </c>
      <c r="BR904" t="s">
        <v>100</v>
      </c>
      <c r="BS904" t="s">
        <v>13498</v>
      </c>
      <c r="BT904" t="str">
        <f>HYPERLINK("https%3A%2F%2Fwww.webofscience.com%2Fwos%2Fwoscc%2Ffull-record%2FWOS:000240367200022","View Full Record in Web of Science")</f>
        <v>View Full Record in Web of Science</v>
      </c>
    </row>
    <row r="905" spans="1:72" x14ac:dyDescent="0.15">
      <c r="A905" t="s">
        <v>72</v>
      </c>
      <c r="B905" t="s">
        <v>13499</v>
      </c>
      <c r="C905" t="s">
        <v>74</v>
      </c>
      <c r="D905" t="s">
        <v>74</v>
      </c>
      <c r="E905" t="s">
        <v>74</v>
      </c>
      <c r="F905" t="s">
        <v>13500</v>
      </c>
      <c r="G905" t="s">
        <v>74</v>
      </c>
      <c r="H905" t="s">
        <v>74</v>
      </c>
      <c r="I905" t="s">
        <v>13501</v>
      </c>
      <c r="J905" t="s">
        <v>13439</v>
      </c>
      <c r="K905" t="s">
        <v>74</v>
      </c>
      <c r="L905" t="s">
        <v>74</v>
      </c>
      <c r="M905" t="s">
        <v>78</v>
      </c>
      <c r="N905" t="s">
        <v>1226</v>
      </c>
      <c r="O905" t="s">
        <v>13502</v>
      </c>
      <c r="P905" t="s">
        <v>13503</v>
      </c>
      <c r="Q905" t="s">
        <v>13504</v>
      </c>
      <c r="R905" t="s">
        <v>74</v>
      </c>
      <c r="S905" t="s">
        <v>13505</v>
      </c>
      <c r="T905" t="s">
        <v>13506</v>
      </c>
      <c r="U905" t="s">
        <v>13507</v>
      </c>
      <c r="V905" t="s">
        <v>13508</v>
      </c>
      <c r="W905" t="s">
        <v>13509</v>
      </c>
      <c r="X905" t="s">
        <v>13510</v>
      </c>
      <c r="Y905" t="s">
        <v>13511</v>
      </c>
      <c r="Z905" t="s">
        <v>13512</v>
      </c>
      <c r="AA905" t="s">
        <v>13513</v>
      </c>
      <c r="AB905" t="s">
        <v>13514</v>
      </c>
      <c r="AC905" t="s">
        <v>74</v>
      </c>
      <c r="AD905" t="s">
        <v>74</v>
      </c>
      <c r="AE905" t="s">
        <v>74</v>
      </c>
      <c r="AF905" t="s">
        <v>74</v>
      </c>
      <c r="AG905">
        <v>28</v>
      </c>
      <c r="AH905">
        <v>7</v>
      </c>
      <c r="AI905">
        <v>7</v>
      </c>
      <c r="AJ905">
        <v>0</v>
      </c>
      <c r="AK905">
        <v>12</v>
      </c>
      <c r="AL905" t="s">
        <v>1893</v>
      </c>
      <c r="AM905" t="s">
        <v>1894</v>
      </c>
      <c r="AN905" t="s">
        <v>1895</v>
      </c>
      <c r="AO905" t="s">
        <v>13449</v>
      </c>
      <c r="AP905" t="s">
        <v>13450</v>
      </c>
      <c r="AQ905" t="s">
        <v>74</v>
      </c>
      <c r="AR905" t="s">
        <v>13451</v>
      </c>
      <c r="AS905" t="s">
        <v>13452</v>
      </c>
      <c r="AT905" t="s">
        <v>74</v>
      </c>
      <c r="AU905">
        <v>2006</v>
      </c>
      <c r="AV905">
        <v>24</v>
      </c>
      <c r="AW905">
        <v>9</v>
      </c>
      <c r="AX905" t="s">
        <v>74</v>
      </c>
      <c r="AY905" t="s">
        <v>74</v>
      </c>
      <c r="AZ905" t="s">
        <v>5755</v>
      </c>
      <c r="BA905" t="s">
        <v>74</v>
      </c>
      <c r="BB905">
        <v>2333</v>
      </c>
      <c r="BC905">
        <v>2345</v>
      </c>
      <c r="BD905" t="s">
        <v>74</v>
      </c>
      <c r="BE905" t="s">
        <v>13515</v>
      </c>
      <c r="BF905" t="str">
        <f>HYPERLINK("http://dx.doi.org/10.5194/angeo-24-2333-2006","http://dx.doi.org/10.5194/angeo-24-2333-2006")</f>
        <v>http://dx.doi.org/10.5194/angeo-24-2333-2006</v>
      </c>
      <c r="BG905" t="s">
        <v>74</v>
      </c>
      <c r="BH905" t="s">
        <v>74</v>
      </c>
      <c r="BI905">
        <v>13</v>
      </c>
      <c r="BJ905" t="s">
        <v>13454</v>
      </c>
      <c r="BK905" t="s">
        <v>668</v>
      </c>
      <c r="BL905" t="s">
        <v>13455</v>
      </c>
      <c r="BM905" t="s">
        <v>13516</v>
      </c>
      <c r="BN905" t="s">
        <v>74</v>
      </c>
      <c r="BO905" t="s">
        <v>1903</v>
      </c>
      <c r="BP905" t="s">
        <v>74</v>
      </c>
      <c r="BQ905" t="s">
        <v>74</v>
      </c>
      <c r="BR905" t="s">
        <v>100</v>
      </c>
      <c r="BS905" t="s">
        <v>13517</v>
      </c>
      <c r="BT905" t="str">
        <f>HYPERLINK("https%3A%2F%2Fwww.webofscience.com%2Fwos%2Fwoscc%2Ffull-record%2FWOS:000241281000002","View Full Record in Web of Science")</f>
        <v>View Full Record in Web of Science</v>
      </c>
    </row>
    <row r="906" spans="1:72" x14ac:dyDescent="0.15">
      <c r="A906" t="s">
        <v>72</v>
      </c>
      <c r="B906" t="s">
        <v>13518</v>
      </c>
      <c r="C906" t="s">
        <v>74</v>
      </c>
      <c r="D906" t="s">
        <v>74</v>
      </c>
      <c r="E906" t="s">
        <v>74</v>
      </c>
      <c r="F906" t="s">
        <v>13519</v>
      </c>
      <c r="G906" t="s">
        <v>74</v>
      </c>
      <c r="H906" t="s">
        <v>74</v>
      </c>
      <c r="I906" t="s">
        <v>13520</v>
      </c>
      <c r="J906" t="s">
        <v>13439</v>
      </c>
      <c r="K906" t="s">
        <v>74</v>
      </c>
      <c r="L906" t="s">
        <v>74</v>
      </c>
      <c r="M906" t="s">
        <v>78</v>
      </c>
      <c r="N906" t="s">
        <v>79</v>
      </c>
      <c r="O906" t="s">
        <v>74</v>
      </c>
      <c r="P906" t="s">
        <v>74</v>
      </c>
      <c r="Q906" t="s">
        <v>74</v>
      </c>
      <c r="R906" t="s">
        <v>74</v>
      </c>
      <c r="S906" t="s">
        <v>74</v>
      </c>
      <c r="T906" t="s">
        <v>13521</v>
      </c>
      <c r="U906" t="s">
        <v>13522</v>
      </c>
      <c r="V906" t="s">
        <v>13523</v>
      </c>
      <c r="W906" t="s">
        <v>13524</v>
      </c>
      <c r="X906" t="s">
        <v>13525</v>
      </c>
      <c r="Y906" t="s">
        <v>13526</v>
      </c>
      <c r="Z906" t="s">
        <v>13527</v>
      </c>
      <c r="AA906" t="s">
        <v>74</v>
      </c>
      <c r="AB906" t="s">
        <v>74</v>
      </c>
      <c r="AC906" t="s">
        <v>74</v>
      </c>
      <c r="AD906" t="s">
        <v>74</v>
      </c>
      <c r="AE906" t="s">
        <v>74</v>
      </c>
      <c r="AF906" t="s">
        <v>74</v>
      </c>
      <c r="AG906">
        <v>28</v>
      </c>
      <c r="AH906">
        <v>6</v>
      </c>
      <c r="AI906">
        <v>6</v>
      </c>
      <c r="AJ906">
        <v>0</v>
      </c>
      <c r="AK906">
        <v>0</v>
      </c>
      <c r="AL906" t="s">
        <v>1893</v>
      </c>
      <c r="AM906" t="s">
        <v>1894</v>
      </c>
      <c r="AN906" t="s">
        <v>1895</v>
      </c>
      <c r="AO906" t="s">
        <v>13449</v>
      </c>
      <c r="AP906" t="s">
        <v>13450</v>
      </c>
      <c r="AQ906" t="s">
        <v>74</v>
      </c>
      <c r="AR906" t="s">
        <v>13451</v>
      </c>
      <c r="AS906" t="s">
        <v>13452</v>
      </c>
      <c r="AT906" t="s">
        <v>74</v>
      </c>
      <c r="AU906">
        <v>2006</v>
      </c>
      <c r="AV906">
        <v>24</v>
      </c>
      <c r="AW906">
        <v>12</v>
      </c>
      <c r="AX906" t="s">
        <v>74</v>
      </c>
      <c r="AY906" t="s">
        <v>74</v>
      </c>
      <c r="AZ906" t="s">
        <v>74</v>
      </c>
      <c r="BA906" t="s">
        <v>74</v>
      </c>
      <c r="BB906">
        <v>3191</v>
      </c>
      <c r="BC906">
        <v>3196</v>
      </c>
      <c r="BD906" t="s">
        <v>74</v>
      </c>
      <c r="BE906" t="s">
        <v>13528</v>
      </c>
      <c r="BF906" t="str">
        <f>HYPERLINK("http://dx.doi.org/10.5194/angeo-24-3191-2006","http://dx.doi.org/10.5194/angeo-24-3191-2006")</f>
        <v>http://dx.doi.org/10.5194/angeo-24-3191-2006</v>
      </c>
      <c r="BG906" t="s">
        <v>74</v>
      </c>
      <c r="BH906" t="s">
        <v>74</v>
      </c>
      <c r="BI906">
        <v>6</v>
      </c>
      <c r="BJ906" t="s">
        <v>13454</v>
      </c>
      <c r="BK906" t="s">
        <v>97</v>
      </c>
      <c r="BL906" t="s">
        <v>13455</v>
      </c>
      <c r="BM906" t="s">
        <v>13529</v>
      </c>
      <c r="BN906" t="s">
        <v>74</v>
      </c>
      <c r="BO906" t="s">
        <v>10886</v>
      </c>
      <c r="BP906" t="s">
        <v>74</v>
      </c>
      <c r="BQ906" t="s">
        <v>74</v>
      </c>
      <c r="BR906" t="s">
        <v>100</v>
      </c>
      <c r="BS906" t="s">
        <v>13530</v>
      </c>
      <c r="BT906" t="str">
        <f>HYPERLINK("https%3A%2F%2Fwww.webofscience.com%2Fwos%2Fwoscc%2Ffull-record%2FWOS:000244147900002","View Full Record in Web of Science")</f>
        <v>View Full Record in Web of Science</v>
      </c>
    </row>
    <row r="907" spans="1:72" x14ac:dyDescent="0.15">
      <c r="A907" t="s">
        <v>72</v>
      </c>
      <c r="B907" t="s">
        <v>13531</v>
      </c>
      <c r="C907" t="s">
        <v>74</v>
      </c>
      <c r="D907" t="s">
        <v>74</v>
      </c>
      <c r="E907" t="s">
        <v>74</v>
      </c>
      <c r="F907" t="s">
        <v>13531</v>
      </c>
      <c r="G907" t="s">
        <v>74</v>
      </c>
      <c r="H907" t="s">
        <v>74</v>
      </c>
      <c r="I907" t="s">
        <v>13532</v>
      </c>
      <c r="J907" t="s">
        <v>13533</v>
      </c>
      <c r="K907" t="s">
        <v>74</v>
      </c>
      <c r="L907" t="s">
        <v>74</v>
      </c>
      <c r="M907" t="s">
        <v>78</v>
      </c>
      <c r="N907" t="s">
        <v>79</v>
      </c>
      <c r="O907" t="s">
        <v>74</v>
      </c>
      <c r="P907" t="s">
        <v>74</v>
      </c>
      <c r="Q907" t="s">
        <v>74</v>
      </c>
      <c r="R907" t="s">
        <v>74</v>
      </c>
      <c r="S907" t="s">
        <v>74</v>
      </c>
      <c r="T907" t="s">
        <v>13534</v>
      </c>
      <c r="U907" t="s">
        <v>13535</v>
      </c>
      <c r="V907" t="s">
        <v>13536</v>
      </c>
      <c r="W907" t="s">
        <v>13537</v>
      </c>
      <c r="X907" t="s">
        <v>13538</v>
      </c>
      <c r="Y907" t="s">
        <v>13539</v>
      </c>
      <c r="Z907" t="s">
        <v>13540</v>
      </c>
      <c r="AA907" t="s">
        <v>74</v>
      </c>
      <c r="AB907" t="s">
        <v>13541</v>
      </c>
      <c r="AC907" t="s">
        <v>74</v>
      </c>
      <c r="AD907" t="s">
        <v>74</v>
      </c>
      <c r="AE907" t="s">
        <v>74</v>
      </c>
      <c r="AF907" t="s">
        <v>74</v>
      </c>
      <c r="AG907">
        <v>80</v>
      </c>
      <c r="AH907">
        <v>4</v>
      </c>
      <c r="AI907">
        <v>5</v>
      </c>
      <c r="AJ907">
        <v>0</v>
      </c>
      <c r="AK907">
        <v>3</v>
      </c>
      <c r="AL907" t="s">
        <v>13542</v>
      </c>
      <c r="AM907" t="s">
        <v>9727</v>
      </c>
      <c r="AN907" t="s">
        <v>13543</v>
      </c>
      <c r="AO907" t="s">
        <v>13544</v>
      </c>
      <c r="AP907" t="s">
        <v>13545</v>
      </c>
      <c r="AQ907" t="s">
        <v>74</v>
      </c>
      <c r="AR907" t="s">
        <v>13546</v>
      </c>
      <c r="AS907" t="s">
        <v>13547</v>
      </c>
      <c r="AT907" t="s">
        <v>74</v>
      </c>
      <c r="AU907">
        <v>2006</v>
      </c>
      <c r="AV907">
        <v>56</v>
      </c>
      <c r="AW907">
        <v>1</v>
      </c>
      <c r="AX907" t="s">
        <v>74</v>
      </c>
      <c r="AY907" t="s">
        <v>74</v>
      </c>
      <c r="AZ907" t="s">
        <v>74</v>
      </c>
      <c r="BA907" t="s">
        <v>74</v>
      </c>
      <c r="BB907">
        <v>197</v>
      </c>
      <c r="BC907">
        <v>213</v>
      </c>
      <c r="BD907" t="s">
        <v>74</v>
      </c>
      <c r="BE907" t="s">
        <v>74</v>
      </c>
      <c r="BF907" t="s">
        <v>74</v>
      </c>
      <c r="BG907" t="s">
        <v>74</v>
      </c>
      <c r="BH907" t="s">
        <v>74</v>
      </c>
      <c r="BI907">
        <v>17</v>
      </c>
      <c r="BJ907" t="s">
        <v>13548</v>
      </c>
      <c r="BK907" t="s">
        <v>97</v>
      </c>
      <c r="BL907" t="s">
        <v>13548</v>
      </c>
      <c r="BM907" t="s">
        <v>13549</v>
      </c>
      <c r="BN907" t="s">
        <v>74</v>
      </c>
      <c r="BO907" t="s">
        <v>74</v>
      </c>
      <c r="BP907" t="s">
        <v>74</v>
      </c>
      <c r="BQ907" t="s">
        <v>74</v>
      </c>
      <c r="BR907" t="s">
        <v>100</v>
      </c>
      <c r="BS907" t="s">
        <v>13550</v>
      </c>
      <c r="BT907" t="str">
        <f>HYPERLINK("https%3A%2F%2Fwww.webofscience.com%2Fwos%2Fwoscc%2Ffull-record%2FWOS:000236876000016","View Full Record in Web of Science")</f>
        <v>View Full Record in Web of Science</v>
      </c>
    </row>
    <row r="908" spans="1:72" x14ac:dyDescent="0.15">
      <c r="A908" t="s">
        <v>12866</v>
      </c>
      <c r="B908" t="s">
        <v>13551</v>
      </c>
      <c r="C908" t="s">
        <v>74</v>
      </c>
      <c r="D908" t="s">
        <v>13552</v>
      </c>
      <c r="E908" t="s">
        <v>74</v>
      </c>
      <c r="F908" t="s">
        <v>13553</v>
      </c>
      <c r="G908" t="s">
        <v>74</v>
      </c>
      <c r="H908" t="s">
        <v>74</v>
      </c>
      <c r="I908" t="s">
        <v>13554</v>
      </c>
      <c r="J908" t="s">
        <v>13555</v>
      </c>
      <c r="K908" t="s">
        <v>13556</v>
      </c>
      <c r="L908" t="s">
        <v>74</v>
      </c>
      <c r="M908" t="s">
        <v>78</v>
      </c>
      <c r="N908" t="s">
        <v>12873</v>
      </c>
      <c r="O908" t="s">
        <v>13557</v>
      </c>
      <c r="P908" t="s">
        <v>13558</v>
      </c>
      <c r="Q908" t="s">
        <v>13559</v>
      </c>
      <c r="R908" t="s">
        <v>74</v>
      </c>
      <c r="S908" t="s">
        <v>74</v>
      </c>
      <c r="T908" t="s">
        <v>74</v>
      </c>
      <c r="U908" t="s">
        <v>13560</v>
      </c>
      <c r="V908" t="s">
        <v>13561</v>
      </c>
      <c r="W908" t="s">
        <v>13562</v>
      </c>
      <c r="X908" t="s">
        <v>13563</v>
      </c>
      <c r="Y908" t="s">
        <v>13564</v>
      </c>
      <c r="Z908" t="s">
        <v>13565</v>
      </c>
      <c r="AA908" t="s">
        <v>13566</v>
      </c>
      <c r="AB908" t="s">
        <v>74</v>
      </c>
      <c r="AC908" t="s">
        <v>13567</v>
      </c>
      <c r="AD908" t="s">
        <v>13568</v>
      </c>
      <c r="AE908" t="s">
        <v>13569</v>
      </c>
      <c r="AF908" t="s">
        <v>74</v>
      </c>
      <c r="AG908">
        <v>54</v>
      </c>
      <c r="AH908">
        <v>5</v>
      </c>
      <c r="AI908">
        <v>8</v>
      </c>
      <c r="AJ908">
        <v>0</v>
      </c>
      <c r="AK908">
        <v>8</v>
      </c>
      <c r="AL908" t="s">
        <v>13570</v>
      </c>
      <c r="AM908" t="s">
        <v>5362</v>
      </c>
      <c r="AN908" t="s">
        <v>13571</v>
      </c>
      <c r="AO908" t="s">
        <v>13572</v>
      </c>
      <c r="AP908" t="s">
        <v>74</v>
      </c>
      <c r="AQ908" t="s">
        <v>13573</v>
      </c>
      <c r="AR908" t="s">
        <v>13574</v>
      </c>
      <c r="AS908" t="s">
        <v>74</v>
      </c>
      <c r="AT908" t="s">
        <v>74</v>
      </c>
      <c r="AU908">
        <v>2006</v>
      </c>
      <c r="AV908">
        <v>43</v>
      </c>
      <c r="AW908" t="s">
        <v>74</v>
      </c>
      <c r="AX908" t="s">
        <v>74</v>
      </c>
      <c r="AY908" t="s">
        <v>74</v>
      </c>
      <c r="AZ908" t="s">
        <v>74</v>
      </c>
      <c r="BA908" t="s">
        <v>74</v>
      </c>
      <c r="BB908">
        <v>42</v>
      </c>
      <c r="BC908" t="s">
        <v>7504</v>
      </c>
      <c r="BD908" t="s">
        <v>74</v>
      </c>
      <c r="BE908" t="s">
        <v>13575</v>
      </c>
      <c r="BF908" t="str">
        <f>HYPERLINK("http://dx.doi.org/10.3189/172756406781812401","http://dx.doi.org/10.3189/172756406781812401")</f>
        <v>http://dx.doi.org/10.3189/172756406781812401</v>
      </c>
      <c r="BG908" t="s">
        <v>74</v>
      </c>
      <c r="BH908" t="s">
        <v>74</v>
      </c>
      <c r="BI908">
        <v>3</v>
      </c>
      <c r="BJ908" t="s">
        <v>527</v>
      </c>
      <c r="BK908" t="s">
        <v>12886</v>
      </c>
      <c r="BL908" t="s">
        <v>528</v>
      </c>
      <c r="BM908" t="s">
        <v>13576</v>
      </c>
      <c r="BN908" t="s">
        <v>74</v>
      </c>
      <c r="BO908" t="s">
        <v>460</v>
      </c>
      <c r="BP908" t="s">
        <v>74</v>
      </c>
      <c r="BQ908" t="s">
        <v>74</v>
      </c>
      <c r="BR908" t="s">
        <v>100</v>
      </c>
      <c r="BS908" t="s">
        <v>13577</v>
      </c>
      <c r="BT908" t="str">
        <f>HYPERLINK("https%3A%2F%2Fwww.webofscience.com%2Fwos%2Fwoscc%2Ffull-record%2FWOS:000245520800007","View Full Record in Web of Science")</f>
        <v>View Full Record in Web of Science</v>
      </c>
    </row>
    <row r="909" spans="1:72" x14ac:dyDescent="0.15">
      <c r="A909" t="s">
        <v>12866</v>
      </c>
      <c r="B909" t="s">
        <v>13578</v>
      </c>
      <c r="C909" t="s">
        <v>74</v>
      </c>
      <c r="D909" t="s">
        <v>13552</v>
      </c>
      <c r="E909" t="s">
        <v>74</v>
      </c>
      <c r="F909" t="s">
        <v>13579</v>
      </c>
      <c r="G909" t="s">
        <v>74</v>
      </c>
      <c r="H909" t="s">
        <v>74</v>
      </c>
      <c r="I909" t="s">
        <v>13580</v>
      </c>
      <c r="J909" t="s">
        <v>13555</v>
      </c>
      <c r="K909" t="s">
        <v>13556</v>
      </c>
      <c r="L909" t="s">
        <v>74</v>
      </c>
      <c r="M909" t="s">
        <v>78</v>
      </c>
      <c r="N909" t="s">
        <v>12873</v>
      </c>
      <c r="O909" t="s">
        <v>13557</v>
      </c>
      <c r="P909" t="s">
        <v>13558</v>
      </c>
      <c r="Q909" t="s">
        <v>13559</v>
      </c>
      <c r="R909" t="s">
        <v>74</v>
      </c>
      <c r="S909" t="s">
        <v>74</v>
      </c>
      <c r="T909" t="s">
        <v>74</v>
      </c>
      <c r="U909" t="s">
        <v>13581</v>
      </c>
      <c r="V909" t="s">
        <v>13582</v>
      </c>
      <c r="W909" t="s">
        <v>13583</v>
      </c>
      <c r="X909" t="s">
        <v>13584</v>
      </c>
      <c r="Y909" t="s">
        <v>13585</v>
      </c>
      <c r="Z909" t="s">
        <v>13586</v>
      </c>
      <c r="AA909" t="s">
        <v>74</v>
      </c>
      <c r="AB909" t="s">
        <v>74</v>
      </c>
      <c r="AC909" t="s">
        <v>13587</v>
      </c>
      <c r="AD909" t="s">
        <v>13588</v>
      </c>
      <c r="AE909" t="s">
        <v>13589</v>
      </c>
      <c r="AF909" t="s">
        <v>74</v>
      </c>
      <c r="AG909">
        <v>28</v>
      </c>
      <c r="AH909">
        <v>32</v>
      </c>
      <c r="AI909">
        <v>41</v>
      </c>
      <c r="AJ909">
        <v>1</v>
      </c>
      <c r="AK909">
        <v>19</v>
      </c>
      <c r="AL909" t="s">
        <v>13570</v>
      </c>
      <c r="AM909" t="s">
        <v>5362</v>
      </c>
      <c r="AN909" t="s">
        <v>13571</v>
      </c>
      <c r="AO909" t="s">
        <v>13572</v>
      </c>
      <c r="AP909" t="s">
        <v>74</v>
      </c>
      <c r="AQ909" t="s">
        <v>13573</v>
      </c>
      <c r="AR909" t="s">
        <v>13574</v>
      </c>
      <c r="AS909" t="s">
        <v>74</v>
      </c>
      <c r="AT909" t="s">
        <v>74</v>
      </c>
      <c r="AU909">
        <v>2006</v>
      </c>
      <c r="AV909">
        <v>43</v>
      </c>
      <c r="AW909" t="s">
        <v>74</v>
      </c>
      <c r="AX909" t="s">
        <v>74</v>
      </c>
      <c r="AY909" t="s">
        <v>74</v>
      </c>
      <c r="AZ909" t="s">
        <v>74</v>
      </c>
      <c r="BA909" t="s">
        <v>74</v>
      </c>
      <c r="BB909">
        <v>154</v>
      </c>
      <c r="BC909" t="s">
        <v>7504</v>
      </c>
      <c r="BD909" t="s">
        <v>74</v>
      </c>
      <c r="BE909" t="s">
        <v>13590</v>
      </c>
      <c r="BF909" t="str">
        <f>HYPERLINK("http://dx.doi.org/10.3189/172756406781812186","http://dx.doi.org/10.3189/172756406781812186")</f>
        <v>http://dx.doi.org/10.3189/172756406781812186</v>
      </c>
      <c r="BG909" t="s">
        <v>74</v>
      </c>
      <c r="BH909" t="s">
        <v>74</v>
      </c>
      <c r="BI909">
        <v>3</v>
      </c>
      <c r="BJ909" t="s">
        <v>527</v>
      </c>
      <c r="BK909" t="s">
        <v>12886</v>
      </c>
      <c r="BL909" t="s">
        <v>528</v>
      </c>
      <c r="BM909" t="s">
        <v>13576</v>
      </c>
      <c r="BN909" t="s">
        <v>74</v>
      </c>
      <c r="BO909" t="s">
        <v>460</v>
      </c>
      <c r="BP909" t="s">
        <v>74</v>
      </c>
      <c r="BQ909" t="s">
        <v>74</v>
      </c>
      <c r="BR909" t="s">
        <v>100</v>
      </c>
      <c r="BS909" t="s">
        <v>13591</v>
      </c>
      <c r="BT909" t="str">
        <f>HYPERLINK("https%3A%2F%2Fwww.webofscience.com%2Fwos%2Fwoscc%2Ffull-record%2FWOS:000245520800022","View Full Record in Web of Science")</f>
        <v>View Full Record in Web of Science</v>
      </c>
    </row>
    <row r="910" spans="1:72" x14ac:dyDescent="0.15">
      <c r="A910" t="s">
        <v>12866</v>
      </c>
      <c r="B910" t="s">
        <v>13592</v>
      </c>
      <c r="C910" t="s">
        <v>74</v>
      </c>
      <c r="D910" t="s">
        <v>13552</v>
      </c>
      <c r="E910" t="s">
        <v>74</v>
      </c>
      <c r="F910" t="s">
        <v>13593</v>
      </c>
      <c r="G910" t="s">
        <v>74</v>
      </c>
      <c r="H910" t="s">
        <v>74</v>
      </c>
      <c r="I910" t="s">
        <v>13594</v>
      </c>
      <c r="J910" t="s">
        <v>13555</v>
      </c>
      <c r="K910" t="s">
        <v>13556</v>
      </c>
      <c r="L910" t="s">
        <v>74</v>
      </c>
      <c r="M910" t="s">
        <v>78</v>
      </c>
      <c r="N910" t="s">
        <v>12873</v>
      </c>
      <c r="O910" t="s">
        <v>13557</v>
      </c>
      <c r="P910" t="s">
        <v>13558</v>
      </c>
      <c r="Q910" t="s">
        <v>13559</v>
      </c>
      <c r="R910" t="s">
        <v>74</v>
      </c>
      <c r="S910" t="s">
        <v>74</v>
      </c>
      <c r="T910" t="s">
        <v>74</v>
      </c>
      <c r="U910" t="s">
        <v>13595</v>
      </c>
      <c r="V910" t="s">
        <v>13596</v>
      </c>
      <c r="W910" t="s">
        <v>13597</v>
      </c>
      <c r="X910" t="s">
        <v>13598</v>
      </c>
      <c r="Y910" t="s">
        <v>13599</v>
      </c>
      <c r="Z910" t="s">
        <v>13600</v>
      </c>
      <c r="AA910" t="s">
        <v>13601</v>
      </c>
      <c r="AB910" t="s">
        <v>13602</v>
      </c>
      <c r="AC910" t="s">
        <v>13603</v>
      </c>
      <c r="AD910" t="s">
        <v>13604</v>
      </c>
      <c r="AE910" t="s">
        <v>13605</v>
      </c>
      <c r="AF910" t="s">
        <v>74</v>
      </c>
      <c r="AG910">
        <v>54</v>
      </c>
      <c r="AH910">
        <v>13</v>
      </c>
      <c r="AI910">
        <v>17</v>
      </c>
      <c r="AJ910">
        <v>0</v>
      </c>
      <c r="AK910">
        <v>9</v>
      </c>
      <c r="AL910" t="s">
        <v>13570</v>
      </c>
      <c r="AM910" t="s">
        <v>5362</v>
      </c>
      <c r="AN910" t="s">
        <v>13571</v>
      </c>
      <c r="AO910" t="s">
        <v>13572</v>
      </c>
      <c r="AP910" t="s">
        <v>74</v>
      </c>
      <c r="AQ910" t="s">
        <v>13573</v>
      </c>
      <c r="AR910" t="s">
        <v>13574</v>
      </c>
      <c r="AS910" t="s">
        <v>74</v>
      </c>
      <c r="AT910" t="s">
        <v>74</v>
      </c>
      <c r="AU910">
        <v>2006</v>
      </c>
      <c r="AV910">
        <v>43</v>
      </c>
      <c r="AW910" t="s">
        <v>74</v>
      </c>
      <c r="AX910" t="s">
        <v>74</v>
      </c>
      <c r="AY910" t="s">
        <v>74</v>
      </c>
      <c r="AZ910" t="s">
        <v>74</v>
      </c>
      <c r="BA910" t="s">
        <v>74</v>
      </c>
      <c r="BB910">
        <v>351</v>
      </c>
      <c r="BC910" t="s">
        <v>7504</v>
      </c>
      <c r="BD910" t="s">
        <v>74</v>
      </c>
      <c r="BE910" t="s">
        <v>13606</v>
      </c>
      <c r="BF910" t="str">
        <f>HYPERLINK("http://dx.doi.org/10.3189/172756406781812249","http://dx.doi.org/10.3189/172756406781812249")</f>
        <v>http://dx.doi.org/10.3189/172756406781812249</v>
      </c>
      <c r="BG910" t="s">
        <v>74</v>
      </c>
      <c r="BH910" t="s">
        <v>74</v>
      </c>
      <c r="BI910">
        <v>3</v>
      </c>
      <c r="BJ910" t="s">
        <v>527</v>
      </c>
      <c r="BK910" t="s">
        <v>12886</v>
      </c>
      <c r="BL910" t="s">
        <v>528</v>
      </c>
      <c r="BM910" t="s">
        <v>13576</v>
      </c>
      <c r="BN910" t="s">
        <v>74</v>
      </c>
      <c r="BO910" t="s">
        <v>460</v>
      </c>
      <c r="BP910" t="s">
        <v>74</v>
      </c>
      <c r="BQ910" t="s">
        <v>74</v>
      </c>
      <c r="BR910" t="s">
        <v>100</v>
      </c>
      <c r="BS910" t="s">
        <v>13607</v>
      </c>
      <c r="BT910" t="str">
        <f>HYPERLINK("https%3A%2F%2Fwww.webofscience.com%2Fwos%2Fwoscc%2Ffull-record%2FWOS:000245520800052","View Full Record in Web of Science")</f>
        <v>View Full Record in Web of Science</v>
      </c>
    </row>
    <row r="911" spans="1:72" x14ac:dyDescent="0.15">
      <c r="A911" t="s">
        <v>12866</v>
      </c>
      <c r="B911" t="s">
        <v>13608</v>
      </c>
      <c r="C911" t="s">
        <v>74</v>
      </c>
      <c r="D911" t="s">
        <v>13609</v>
      </c>
      <c r="E911" t="s">
        <v>74</v>
      </c>
      <c r="F911" t="s">
        <v>13610</v>
      </c>
      <c r="G911" t="s">
        <v>74</v>
      </c>
      <c r="H911" t="s">
        <v>74</v>
      </c>
      <c r="I911" t="s">
        <v>13611</v>
      </c>
      <c r="J911" t="s">
        <v>13612</v>
      </c>
      <c r="K911" t="s">
        <v>13556</v>
      </c>
      <c r="L911" t="s">
        <v>74</v>
      </c>
      <c r="M911" t="s">
        <v>78</v>
      </c>
      <c r="N911" t="s">
        <v>12873</v>
      </c>
      <c r="O911" t="s">
        <v>13613</v>
      </c>
      <c r="P911" t="s">
        <v>13614</v>
      </c>
      <c r="Q911" t="s">
        <v>13615</v>
      </c>
      <c r="R911" t="s">
        <v>74</v>
      </c>
      <c r="S911" t="s">
        <v>74</v>
      </c>
      <c r="T911" t="s">
        <v>74</v>
      </c>
      <c r="U911" t="s">
        <v>13616</v>
      </c>
      <c r="V911" t="s">
        <v>13617</v>
      </c>
      <c r="W911" t="s">
        <v>13618</v>
      </c>
      <c r="X911" t="s">
        <v>13619</v>
      </c>
      <c r="Y911" t="s">
        <v>13620</v>
      </c>
      <c r="Z911" t="s">
        <v>13621</v>
      </c>
      <c r="AA911" t="s">
        <v>74</v>
      </c>
      <c r="AB911" t="s">
        <v>13622</v>
      </c>
      <c r="AC911" t="s">
        <v>74</v>
      </c>
      <c r="AD911" t="s">
        <v>74</v>
      </c>
      <c r="AE911" t="s">
        <v>74</v>
      </c>
      <c r="AF911" t="s">
        <v>74</v>
      </c>
      <c r="AG911">
        <v>30</v>
      </c>
      <c r="AH911">
        <v>4</v>
      </c>
      <c r="AI911">
        <v>4</v>
      </c>
      <c r="AJ911">
        <v>0</v>
      </c>
      <c r="AK911">
        <v>3</v>
      </c>
      <c r="AL911" t="s">
        <v>13570</v>
      </c>
      <c r="AM911" t="s">
        <v>5362</v>
      </c>
      <c r="AN911" t="s">
        <v>13571</v>
      </c>
      <c r="AO911" t="s">
        <v>13572</v>
      </c>
      <c r="AP911" t="s">
        <v>74</v>
      </c>
      <c r="AQ911" t="s">
        <v>13623</v>
      </c>
      <c r="AR911" t="s">
        <v>13574</v>
      </c>
      <c r="AS911" t="s">
        <v>74</v>
      </c>
      <c r="AT911" t="s">
        <v>74</v>
      </c>
      <c r="AU911">
        <v>2006</v>
      </c>
      <c r="AV911">
        <v>44</v>
      </c>
      <c r="AW911" t="s">
        <v>74</v>
      </c>
      <c r="AX911" t="s">
        <v>74</v>
      </c>
      <c r="AY911" t="s">
        <v>74</v>
      </c>
      <c r="AZ911" t="s">
        <v>74</v>
      </c>
      <c r="BA911" t="s">
        <v>74</v>
      </c>
      <c r="BB911">
        <v>15</v>
      </c>
      <c r="BC911">
        <v>22</v>
      </c>
      <c r="BD911" t="s">
        <v>74</v>
      </c>
      <c r="BE911" t="s">
        <v>13624</v>
      </c>
      <c r="BF911" t="str">
        <f>HYPERLINK("http://dx.doi.org/10.3189/172756406781811691","http://dx.doi.org/10.3189/172756406781811691")</f>
        <v>http://dx.doi.org/10.3189/172756406781811691</v>
      </c>
      <c r="BG911" t="s">
        <v>74</v>
      </c>
      <c r="BH911" t="s">
        <v>74</v>
      </c>
      <c r="BI911">
        <v>8</v>
      </c>
      <c r="BJ911" t="s">
        <v>13625</v>
      </c>
      <c r="BK911" t="s">
        <v>12886</v>
      </c>
      <c r="BL911" t="s">
        <v>13626</v>
      </c>
      <c r="BM911" t="s">
        <v>13627</v>
      </c>
      <c r="BN911" t="s">
        <v>74</v>
      </c>
      <c r="BO911" t="s">
        <v>460</v>
      </c>
      <c r="BP911" t="s">
        <v>74</v>
      </c>
      <c r="BQ911" t="s">
        <v>74</v>
      </c>
      <c r="BR911" t="s">
        <v>100</v>
      </c>
      <c r="BS911" t="s">
        <v>13628</v>
      </c>
      <c r="BT911" t="str">
        <f>HYPERLINK("https%3A%2F%2Fwww.webofscience.com%2Fwos%2Fwoscc%2Ffull-record%2FWOS:000246685800003","View Full Record in Web of Science")</f>
        <v>View Full Record in Web of Science</v>
      </c>
    </row>
    <row r="912" spans="1:72" x14ac:dyDescent="0.15">
      <c r="A912" t="s">
        <v>12866</v>
      </c>
      <c r="B912" t="s">
        <v>13629</v>
      </c>
      <c r="C912" t="s">
        <v>74</v>
      </c>
      <c r="D912" t="s">
        <v>13609</v>
      </c>
      <c r="E912" t="s">
        <v>74</v>
      </c>
      <c r="F912" t="s">
        <v>13630</v>
      </c>
      <c r="G912" t="s">
        <v>74</v>
      </c>
      <c r="H912" t="s">
        <v>74</v>
      </c>
      <c r="I912" t="s">
        <v>13631</v>
      </c>
      <c r="J912" t="s">
        <v>13612</v>
      </c>
      <c r="K912" t="s">
        <v>13556</v>
      </c>
      <c r="L912" t="s">
        <v>74</v>
      </c>
      <c r="M912" t="s">
        <v>78</v>
      </c>
      <c r="N912" t="s">
        <v>12873</v>
      </c>
      <c r="O912" t="s">
        <v>13613</v>
      </c>
      <c r="P912" t="s">
        <v>13614</v>
      </c>
      <c r="Q912" t="s">
        <v>13615</v>
      </c>
      <c r="R912" t="s">
        <v>74</v>
      </c>
      <c r="S912" t="s">
        <v>74</v>
      </c>
      <c r="T912" t="s">
        <v>74</v>
      </c>
      <c r="U912" t="s">
        <v>13632</v>
      </c>
      <c r="V912" t="s">
        <v>13633</v>
      </c>
      <c r="W912" t="s">
        <v>13634</v>
      </c>
      <c r="X912" t="s">
        <v>2182</v>
      </c>
      <c r="Y912" t="s">
        <v>13635</v>
      </c>
      <c r="Z912" t="s">
        <v>13636</v>
      </c>
      <c r="AA912" t="s">
        <v>13637</v>
      </c>
      <c r="AB912" t="s">
        <v>74</v>
      </c>
      <c r="AC912" t="s">
        <v>74</v>
      </c>
      <c r="AD912" t="s">
        <v>74</v>
      </c>
      <c r="AE912" t="s">
        <v>74</v>
      </c>
      <c r="AF912" t="s">
        <v>74</v>
      </c>
      <c r="AG912">
        <v>20</v>
      </c>
      <c r="AH912">
        <v>10</v>
      </c>
      <c r="AI912">
        <v>11</v>
      </c>
      <c r="AJ912">
        <v>0</v>
      </c>
      <c r="AK912">
        <v>4</v>
      </c>
      <c r="AL912" t="s">
        <v>13570</v>
      </c>
      <c r="AM912" t="s">
        <v>5362</v>
      </c>
      <c r="AN912" t="s">
        <v>13571</v>
      </c>
      <c r="AO912" t="s">
        <v>13572</v>
      </c>
      <c r="AP912" t="s">
        <v>74</v>
      </c>
      <c r="AQ912" t="s">
        <v>13623</v>
      </c>
      <c r="AR912" t="s">
        <v>13574</v>
      </c>
      <c r="AS912" t="s">
        <v>74</v>
      </c>
      <c r="AT912" t="s">
        <v>74</v>
      </c>
      <c r="AU912">
        <v>2006</v>
      </c>
      <c r="AV912">
        <v>44</v>
      </c>
      <c r="AW912" t="s">
        <v>74</v>
      </c>
      <c r="AX912" t="s">
        <v>74</v>
      </c>
      <c r="AY912" t="s">
        <v>74</v>
      </c>
      <c r="AZ912" t="s">
        <v>74</v>
      </c>
      <c r="BA912" t="s">
        <v>74</v>
      </c>
      <c r="BB912">
        <v>53</v>
      </c>
      <c r="BC912" t="s">
        <v>7504</v>
      </c>
      <c r="BD912" t="s">
        <v>74</v>
      </c>
      <c r="BE912" t="s">
        <v>13638</v>
      </c>
      <c r="BF912" t="str">
        <f>HYPERLINK("http://dx.doi.org/10.3189/172756406781811475","http://dx.doi.org/10.3189/172756406781811475")</f>
        <v>http://dx.doi.org/10.3189/172756406781811475</v>
      </c>
      <c r="BG912" t="s">
        <v>74</v>
      </c>
      <c r="BH912" t="s">
        <v>74</v>
      </c>
      <c r="BI912">
        <v>2</v>
      </c>
      <c r="BJ912" t="s">
        <v>13625</v>
      </c>
      <c r="BK912" t="s">
        <v>12886</v>
      </c>
      <c r="BL912" t="s">
        <v>13626</v>
      </c>
      <c r="BM912" t="s">
        <v>13627</v>
      </c>
      <c r="BN912" t="s">
        <v>74</v>
      </c>
      <c r="BO912" t="s">
        <v>460</v>
      </c>
      <c r="BP912" t="s">
        <v>74</v>
      </c>
      <c r="BQ912" t="s">
        <v>74</v>
      </c>
      <c r="BR912" t="s">
        <v>100</v>
      </c>
      <c r="BS912" t="s">
        <v>13639</v>
      </c>
      <c r="BT912" t="str">
        <f>HYPERLINK("https%3A%2F%2Fwww.webofscience.com%2Fwos%2Fwoscc%2Ffull-record%2FWOS:000246685800009","View Full Record in Web of Science")</f>
        <v>View Full Record in Web of Science</v>
      </c>
    </row>
    <row r="913" spans="1:72" x14ac:dyDescent="0.15">
      <c r="A913" t="s">
        <v>12866</v>
      </c>
      <c r="B913" t="s">
        <v>13640</v>
      </c>
      <c r="C913" t="s">
        <v>74</v>
      </c>
      <c r="D913" t="s">
        <v>13609</v>
      </c>
      <c r="E913" t="s">
        <v>74</v>
      </c>
      <c r="F913" t="s">
        <v>13641</v>
      </c>
      <c r="G913" t="s">
        <v>74</v>
      </c>
      <c r="H913" t="s">
        <v>74</v>
      </c>
      <c r="I913" t="s">
        <v>13642</v>
      </c>
      <c r="J913" t="s">
        <v>13612</v>
      </c>
      <c r="K913" t="s">
        <v>13556</v>
      </c>
      <c r="L913" t="s">
        <v>74</v>
      </c>
      <c r="M913" t="s">
        <v>78</v>
      </c>
      <c r="N913" t="s">
        <v>12873</v>
      </c>
      <c r="O913" t="s">
        <v>13613</v>
      </c>
      <c r="P913" t="s">
        <v>13614</v>
      </c>
      <c r="Q913" t="s">
        <v>13615</v>
      </c>
      <c r="R913" t="s">
        <v>74</v>
      </c>
      <c r="S913" t="s">
        <v>74</v>
      </c>
      <c r="T913" t="s">
        <v>74</v>
      </c>
      <c r="U913" t="s">
        <v>13643</v>
      </c>
      <c r="V913" t="s">
        <v>13644</v>
      </c>
      <c r="W913" t="s">
        <v>13645</v>
      </c>
      <c r="X913" t="s">
        <v>13646</v>
      </c>
      <c r="Y913" t="s">
        <v>13647</v>
      </c>
      <c r="Z913" t="s">
        <v>13648</v>
      </c>
      <c r="AA913" t="s">
        <v>13649</v>
      </c>
      <c r="AB913" t="s">
        <v>13650</v>
      </c>
      <c r="AC913" t="s">
        <v>74</v>
      </c>
      <c r="AD913" t="s">
        <v>74</v>
      </c>
      <c r="AE913" t="s">
        <v>74</v>
      </c>
      <c r="AF913" t="s">
        <v>74</v>
      </c>
      <c r="AG913">
        <v>35</v>
      </c>
      <c r="AH913">
        <v>61</v>
      </c>
      <c r="AI913">
        <v>65</v>
      </c>
      <c r="AJ913">
        <v>0</v>
      </c>
      <c r="AK913">
        <v>8</v>
      </c>
      <c r="AL913" t="s">
        <v>13570</v>
      </c>
      <c r="AM913" t="s">
        <v>5362</v>
      </c>
      <c r="AN913" t="s">
        <v>13571</v>
      </c>
      <c r="AO913" t="s">
        <v>13572</v>
      </c>
      <c r="AP913" t="s">
        <v>74</v>
      </c>
      <c r="AQ913" t="s">
        <v>13623</v>
      </c>
      <c r="AR913" t="s">
        <v>13574</v>
      </c>
      <c r="AS913" t="s">
        <v>74</v>
      </c>
      <c r="AT913" t="s">
        <v>74</v>
      </c>
      <c r="AU913">
        <v>2006</v>
      </c>
      <c r="AV913">
        <v>44</v>
      </c>
      <c r="AW913" t="s">
        <v>74</v>
      </c>
      <c r="AX913" t="s">
        <v>74</v>
      </c>
      <c r="AY913" t="s">
        <v>74</v>
      </c>
      <c r="AZ913" t="s">
        <v>74</v>
      </c>
      <c r="BA913" t="s">
        <v>74</v>
      </c>
      <c r="BB913">
        <v>63</v>
      </c>
      <c r="BC913">
        <v>72</v>
      </c>
      <c r="BD913" t="s">
        <v>74</v>
      </c>
      <c r="BE913" t="s">
        <v>13651</v>
      </c>
      <c r="BF913" t="str">
        <f>HYPERLINK("http://dx.doi.org/10.3189/172756406781811709","http://dx.doi.org/10.3189/172756406781811709")</f>
        <v>http://dx.doi.org/10.3189/172756406781811709</v>
      </c>
      <c r="BG913" t="s">
        <v>74</v>
      </c>
      <c r="BH913" t="s">
        <v>74</v>
      </c>
      <c r="BI913">
        <v>10</v>
      </c>
      <c r="BJ913" t="s">
        <v>13625</v>
      </c>
      <c r="BK913" t="s">
        <v>12886</v>
      </c>
      <c r="BL913" t="s">
        <v>13626</v>
      </c>
      <c r="BM913" t="s">
        <v>13627</v>
      </c>
      <c r="BN913" t="s">
        <v>74</v>
      </c>
      <c r="BO913" t="s">
        <v>460</v>
      </c>
      <c r="BP913" t="s">
        <v>74</v>
      </c>
      <c r="BQ913" t="s">
        <v>74</v>
      </c>
      <c r="BR913" t="s">
        <v>100</v>
      </c>
      <c r="BS913" t="s">
        <v>13652</v>
      </c>
      <c r="BT913" t="str">
        <f>HYPERLINK("https%3A%2F%2Fwww.webofscience.com%2Fwos%2Fwoscc%2Ffull-record%2FWOS:000246685800011","View Full Record in Web of Science")</f>
        <v>View Full Record in Web of Science</v>
      </c>
    </row>
    <row r="914" spans="1:72" x14ac:dyDescent="0.15">
      <c r="A914" t="s">
        <v>12866</v>
      </c>
      <c r="B914" t="s">
        <v>13653</v>
      </c>
      <c r="C914" t="s">
        <v>74</v>
      </c>
      <c r="D914" t="s">
        <v>13609</v>
      </c>
      <c r="E914" t="s">
        <v>74</v>
      </c>
      <c r="F914" t="s">
        <v>13654</v>
      </c>
      <c r="G914" t="s">
        <v>74</v>
      </c>
      <c r="H914" t="s">
        <v>74</v>
      </c>
      <c r="I914" t="s">
        <v>13655</v>
      </c>
      <c r="J914" t="s">
        <v>13612</v>
      </c>
      <c r="K914" t="s">
        <v>13556</v>
      </c>
      <c r="L914" t="s">
        <v>74</v>
      </c>
      <c r="M914" t="s">
        <v>78</v>
      </c>
      <c r="N914" t="s">
        <v>12873</v>
      </c>
      <c r="O914" t="s">
        <v>13613</v>
      </c>
      <c r="P914" t="s">
        <v>13614</v>
      </c>
      <c r="Q914" t="s">
        <v>13615</v>
      </c>
      <c r="R914" t="s">
        <v>74</v>
      </c>
      <c r="S914" t="s">
        <v>74</v>
      </c>
      <c r="T914" t="s">
        <v>74</v>
      </c>
      <c r="U914" t="s">
        <v>13656</v>
      </c>
      <c r="V914" t="s">
        <v>13657</v>
      </c>
      <c r="W914" t="s">
        <v>13658</v>
      </c>
      <c r="X914" t="s">
        <v>13659</v>
      </c>
      <c r="Y914" t="s">
        <v>13660</v>
      </c>
      <c r="Z914" t="s">
        <v>13661</v>
      </c>
      <c r="AA914" t="s">
        <v>13662</v>
      </c>
      <c r="AB914" t="s">
        <v>13663</v>
      </c>
      <c r="AC914" t="s">
        <v>13664</v>
      </c>
      <c r="AD914" t="s">
        <v>13665</v>
      </c>
      <c r="AE914" t="s">
        <v>13666</v>
      </c>
      <c r="AF914" t="s">
        <v>74</v>
      </c>
      <c r="AG914">
        <v>23</v>
      </c>
      <c r="AH914">
        <v>28</v>
      </c>
      <c r="AI914">
        <v>30</v>
      </c>
      <c r="AJ914">
        <v>2</v>
      </c>
      <c r="AK914">
        <v>4</v>
      </c>
      <c r="AL914" t="s">
        <v>13570</v>
      </c>
      <c r="AM914" t="s">
        <v>5362</v>
      </c>
      <c r="AN914" t="s">
        <v>13571</v>
      </c>
      <c r="AO914" t="s">
        <v>13572</v>
      </c>
      <c r="AP914" t="s">
        <v>74</v>
      </c>
      <c r="AQ914" t="s">
        <v>13623</v>
      </c>
      <c r="AR914" t="s">
        <v>13574</v>
      </c>
      <c r="AS914" t="s">
        <v>74</v>
      </c>
      <c r="AT914" t="s">
        <v>74</v>
      </c>
      <c r="AU914">
        <v>2006</v>
      </c>
      <c r="AV914">
        <v>44</v>
      </c>
      <c r="AW914" t="s">
        <v>74</v>
      </c>
      <c r="AX914" t="s">
        <v>74</v>
      </c>
      <c r="AY914" t="s">
        <v>74</v>
      </c>
      <c r="AZ914" t="s">
        <v>74</v>
      </c>
      <c r="BA914" t="s">
        <v>74</v>
      </c>
      <c r="BB914">
        <v>147</v>
      </c>
      <c r="BC914" t="s">
        <v>7504</v>
      </c>
      <c r="BD914" t="s">
        <v>74</v>
      </c>
      <c r="BE914" t="s">
        <v>13667</v>
      </c>
      <c r="BF914" t="str">
        <f>HYPERLINK("http://dx.doi.org/10.3189/172756406781811312","http://dx.doi.org/10.3189/172756406781811312")</f>
        <v>http://dx.doi.org/10.3189/172756406781811312</v>
      </c>
      <c r="BG914" t="s">
        <v>74</v>
      </c>
      <c r="BH914" t="s">
        <v>74</v>
      </c>
      <c r="BI914">
        <v>2</v>
      </c>
      <c r="BJ914" t="s">
        <v>13625</v>
      </c>
      <c r="BK914" t="s">
        <v>12886</v>
      </c>
      <c r="BL914" t="s">
        <v>13626</v>
      </c>
      <c r="BM914" t="s">
        <v>13627</v>
      </c>
      <c r="BN914" t="s">
        <v>74</v>
      </c>
      <c r="BO914" t="s">
        <v>227</v>
      </c>
      <c r="BP914" t="s">
        <v>74</v>
      </c>
      <c r="BQ914" t="s">
        <v>74</v>
      </c>
      <c r="BR914" t="s">
        <v>100</v>
      </c>
      <c r="BS914" t="s">
        <v>13668</v>
      </c>
      <c r="BT914" t="str">
        <f>HYPERLINK("https%3A%2F%2Fwww.webofscience.com%2Fwos%2Fwoscc%2Ffull-record%2FWOS:000246685800024","View Full Record in Web of Science")</f>
        <v>View Full Record in Web of Science</v>
      </c>
    </row>
    <row r="915" spans="1:72" x14ac:dyDescent="0.15">
      <c r="A915" t="s">
        <v>12866</v>
      </c>
      <c r="B915" t="s">
        <v>13669</v>
      </c>
      <c r="C915" t="s">
        <v>74</v>
      </c>
      <c r="D915" t="s">
        <v>13609</v>
      </c>
      <c r="E915" t="s">
        <v>74</v>
      </c>
      <c r="F915" t="s">
        <v>13670</v>
      </c>
      <c r="G915" t="s">
        <v>74</v>
      </c>
      <c r="H915" t="s">
        <v>74</v>
      </c>
      <c r="I915" t="s">
        <v>13671</v>
      </c>
      <c r="J915" t="s">
        <v>13612</v>
      </c>
      <c r="K915" t="s">
        <v>13556</v>
      </c>
      <c r="L915" t="s">
        <v>74</v>
      </c>
      <c r="M915" t="s">
        <v>78</v>
      </c>
      <c r="N915" t="s">
        <v>12873</v>
      </c>
      <c r="O915" t="s">
        <v>13613</v>
      </c>
      <c r="P915" t="s">
        <v>13614</v>
      </c>
      <c r="Q915" t="s">
        <v>13615</v>
      </c>
      <c r="R915" t="s">
        <v>74</v>
      </c>
      <c r="S915" t="s">
        <v>74</v>
      </c>
      <c r="T915" t="s">
        <v>74</v>
      </c>
      <c r="U915" t="s">
        <v>13672</v>
      </c>
      <c r="V915" t="s">
        <v>13673</v>
      </c>
      <c r="W915" t="s">
        <v>13674</v>
      </c>
      <c r="X915" t="s">
        <v>13675</v>
      </c>
      <c r="Y915" t="s">
        <v>13676</v>
      </c>
      <c r="Z915" t="s">
        <v>13677</v>
      </c>
      <c r="AA915" t="s">
        <v>74</v>
      </c>
      <c r="AB915" t="s">
        <v>74</v>
      </c>
      <c r="AC915" t="s">
        <v>13678</v>
      </c>
      <c r="AD915" t="s">
        <v>13679</v>
      </c>
      <c r="AE915" t="s">
        <v>13680</v>
      </c>
      <c r="AF915" t="s">
        <v>74</v>
      </c>
      <c r="AG915">
        <v>24</v>
      </c>
      <c r="AH915">
        <v>3</v>
      </c>
      <c r="AI915">
        <v>3</v>
      </c>
      <c r="AJ915">
        <v>0</v>
      </c>
      <c r="AK915">
        <v>3</v>
      </c>
      <c r="AL915" t="s">
        <v>13570</v>
      </c>
      <c r="AM915" t="s">
        <v>5362</v>
      </c>
      <c r="AN915" t="s">
        <v>13571</v>
      </c>
      <c r="AO915" t="s">
        <v>13572</v>
      </c>
      <c r="AP915" t="s">
        <v>74</v>
      </c>
      <c r="AQ915" t="s">
        <v>13623</v>
      </c>
      <c r="AR915" t="s">
        <v>13574</v>
      </c>
      <c r="AS915" t="s">
        <v>74</v>
      </c>
      <c r="AT915" t="s">
        <v>74</v>
      </c>
      <c r="AU915">
        <v>2006</v>
      </c>
      <c r="AV915">
        <v>44</v>
      </c>
      <c r="AW915" t="s">
        <v>74</v>
      </c>
      <c r="AX915" t="s">
        <v>74</v>
      </c>
      <c r="AY915" t="s">
        <v>74</v>
      </c>
      <c r="AZ915" t="s">
        <v>74</v>
      </c>
      <c r="BA915" t="s">
        <v>74</v>
      </c>
      <c r="BB915">
        <v>163</v>
      </c>
      <c r="BC915" t="s">
        <v>7504</v>
      </c>
      <c r="BD915" t="s">
        <v>74</v>
      </c>
      <c r="BE915" t="s">
        <v>13681</v>
      </c>
      <c r="BF915" t="str">
        <f>HYPERLINK("http://dx.doi.org/10.3189/172756406781811655","http://dx.doi.org/10.3189/172756406781811655")</f>
        <v>http://dx.doi.org/10.3189/172756406781811655</v>
      </c>
      <c r="BG915" t="s">
        <v>74</v>
      </c>
      <c r="BH915" t="s">
        <v>74</v>
      </c>
      <c r="BI915">
        <v>3</v>
      </c>
      <c r="BJ915" t="s">
        <v>13625</v>
      </c>
      <c r="BK915" t="s">
        <v>12886</v>
      </c>
      <c r="BL915" t="s">
        <v>13626</v>
      </c>
      <c r="BM915" t="s">
        <v>13627</v>
      </c>
      <c r="BN915" t="s">
        <v>74</v>
      </c>
      <c r="BO915" t="s">
        <v>460</v>
      </c>
      <c r="BP915" t="s">
        <v>74</v>
      </c>
      <c r="BQ915" t="s">
        <v>74</v>
      </c>
      <c r="BR915" t="s">
        <v>100</v>
      </c>
      <c r="BS915" t="s">
        <v>13682</v>
      </c>
      <c r="BT915" t="str">
        <f>HYPERLINK("https%3A%2F%2Fwww.webofscience.com%2Fwos%2Fwoscc%2Ffull-record%2FWOS:000246685800026","View Full Record in Web of Science")</f>
        <v>View Full Record in Web of Science</v>
      </c>
    </row>
    <row r="916" spans="1:72" x14ac:dyDescent="0.15">
      <c r="A916" t="s">
        <v>12866</v>
      </c>
      <c r="B916" t="s">
        <v>13683</v>
      </c>
      <c r="C916" t="s">
        <v>74</v>
      </c>
      <c r="D916" t="s">
        <v>13609</v>
      </c>
      <c r="E916" t="s">
        <v>74</v>
      </c>
      <c r="F916" t="s">
        <v>13684</v>
      </c>
      <c r="G916" t="s">
        <v>74</v>
      </c>
      <c r="H916" t="s">
        <v>74</v>
      </c>
      <c r="I916" t="s">
        <v>13685</v>
      </c>
      <c r="J916" t="s">
        <v>13612</v>
      </c>
      <c r="K916" t="s">
        <v>13556</v>
      </c>
      <c r="L916" t="s">
        <v>74</v>
      </c>
      <c r="M916" t="s">
        <v>78</v>
      </c>
      <c r="N916" t="s">
        <v>12873</v>
      </c>
      <c r="O916" t="s">
        <v>13613</v>
      </c>
      <c r="P916" t="s">
        <v>13614</v>
      </c>
      <c r="Q916" t="s">
        <v>13615</v>
      </c>
      <c r="R916" t="s">
        <v>74</v>
      </c>
      <c r="S916" t="s">
        <v>74</v>
      </c>
      <c r="T916" t="s">
        <v>74</v>
      </c>
      <c r="U916" t="s">
        <v>13686</v>
      </c>
      <c r="V916" t="s">
        <v>13687</v>
      </c>
      <c r="W916" t="s">
        <v>13688</v>
      </c>
      <c r="X916" t="s">
        <v>13689</v>
      </c>
      <c r="Y916" t="s">
        <v>13690</v>
      </c>
      <c r="Z916" t="s">
        <v>13691</v>
      </c>
      <c r="AA916" t="s">
        <v>13692</v>
      </c>
      <c r="AB916" t="s">
        <v>13693</v>
      </c>
      <c r="AC916" t="s">
        <v>13694</v>
      </c>
      <c r="AD916" t="s">
        <v>13695</v>
      </c>
      <c r="AE916" t="s">
        <v>13696</v>
      </c>
      <c r="AF916" t="s">
        <v>74</v>
      </c>
      <c r="AG916">
        <v>30</v>
      </c>
      <c r="AH916">
        <v>40</v>
      </c>
      <c r="AI916">
        <v>44</v>
      </c>
      <c r="AJ916">
        <v>0</v>
      </c>
      <c r="AK916">
        <v>6</v>
      </c>
      <c r="AL916" t="s">
        <v>13570</v>
      </c>
      <c r="AM916" t="s">
        <v>5362</v>
      </c>
      <c r="AN916" t="s">
        <v>13571</v>
      </c>
      <c r="AO916" t="s">
        <v>13572</v>
      </c>
      <c r="AP916" t="s">
        <v>74</v>
      </c>
      <c r="AQ916" t="s">
        <v>13623</v>
      </c>
      <c r="AR916" t="s">
        <v>13574</v>
      </c>
      <c r="AS916" t="s">
        <v>74</v>
      </c>
      <c r="AT916" t="s">
        <v>74</v>
      </c>
      <c r="AU916">
        <v>2006</v>
      </c>
      <c r="AV916">
        <v>44</v>
      </c>
      <c r="AW916" t="s">
        <v>74</v>
      </c>
      <c r="AX916" t="s">
        <v>74</v>
      </c>
      <c r="AY916" t="s">
        <v>74</v>
      </c>
      <c r="AZ916" t="s">
        <v>74</v>
      </c>
      <c r="BA916" t="s">
        <v>74</v>
      </c>
      <c r="BB916">
        <v>170</v>
      </c>
      <c r="BC916" t="s">
        <v>7504</v>
      </c>
      <c r="BD916" t="s">
        <v>74</v>
      </c>
      <c r="BE916" t="s">
        <v>13697</v>
      </c>
      <c r="BF916" t="str">
        <f>HYPERLINK("http://dx.doi.org/10.3189/172756406781811853","http://dx.doi.org/10.3189/172756406781811853")</f>
        <v>http://dx.doi.org/10.3189/172756406781811853</v>
      </c>
      <c r="BG916" t="s">
        <v>74</v>
      </c>
      <c r="BH916" t="s">
        <v>74</v>
      </c>
      <c r="BI916">
        <v>3</v>
      </c>
      <c r="BJ916" t="s">
        <v>13625</v>
      </c>
      <c r="BK916" t="s">
        <v>12886</v>
      </c>
      <c r="BL916" t="s">
        <v>13626</v>
      </c>
      <c r="BM916" t="s">
        <v>13627</v>
      </c>
      <c r="BN916" t="s">
        <v>74</v>
      </c>
      <c r="BO916" t="s">
        <v>460</v>
      </c>
      <c r="BP916" t="s">
        <v>74</v>
      </c>
      <c r="BQ916" t="s">
        <v>74</v>
      </c>
      <c r="BR916" t="s">
        <v>100</v>
      </c>
      <c r="BS916" t="s">
        <v>13698</v>
      </c>
      <c r="BT916" t="str">
        <f>HYPERLINK("https%3A%2F%2Fwww.webofscience.com%2Fwos%2Fwoscc%2Ffull-record%2FWOS:000246685800027","View Full Record in Web of Science")</f>
        <v>View Full Record in Web of Science</v>
      </c>
    </row>
    <row r="917" spans="1:72" x14ac:dyDescent="0.15">
      <c r="A917" t="s">
        <v>12866</v>
      </c>
      <c r="B917" t="s">
        <v>13699</v>
      </c>
      <c r="C917" t="s">
        <v>74</v>
      </c>
      <c r="D917" t="s">
        <v>13609</v>
      </c>
      <c r="E917" t="s">
        <v>74</v>
      </c>
      <c r="F917" t="s">
        <v>13700</v>
      </c>
      <c r="G917" t="s">
        <v>74</v>
      </c>
      <c r="H917" t="s">
        <v>74</v>
      </c>
      <c r="I917" t="s">
        <v>13701</v>
      </c>
      <c r="J917" t="s">
        <v>13702</v>
      </c>
      <c r="K917" t="s">
        <v>13703</v>
      </c>
      <c r="L917" t="s">
        <v>74</v>
      </c>
      <c r="M917" t="s">
        <v>78</v>
      </c>
      <c r="N917" t="s">
        <v>12873</v>
      </c>
      <c r="O917" t="s">
        <v>13613</v>
      </c>
      <c r="P917" t="s">
        <v>13614</v>
      </c>
      <c r="Q917" t="s">
        <v>13615</v>
      </c>
      <c r="R917" t="s">
        <v>74</v>
      </c>
      <c r="S917" t="s">
        <v>74</v>
      </c>
      <c r="T917" t="s">
        <v>74</v>
      </c>
      <c r="U917" t="s">
        <v>13704</v>
      </c>
      <c r="V917" t="s">
        <v>13705</v>
      </c>
      <c r="W917" t="s">
        <v>13706</v>
      </c>
      <c r="X917" t="s">
        <v>1418</v>
      </c>
      <c r="Y917" t="s">
        <v>13707</v>
      </c>
      <c r="Z917" t="s">
        <v>74</v>
      </c>
      <c r="AA917" t="s">
        <v>74</v>
      </c>
      <c r="AB917" t="s">
        <v>74</v>
      </c>
      <c r="AC917" t="s">
        <v>74</v>
      </c>
      <c r="AD917" t="s">
        <v>74</v>
      </c>
      <c r="AE917" t="s">
        <v>74</v>
      </c>
      <c r="AF917" t="s">
        <v>74</v>
      </c>
      <c r="AG917">
        <v>19</v>
      </c>
      <c r="AH917">
        <v>32</v>
      </c>
      <c r="AI917">
        <v>35</v>
      </c>
      <c r="AJ917">
        <v>0</v>
      </c>
      <c r="AK917">
        <v>5</v>
      </c>
      <c r="AL917" t="s">
        <v>13570</v>
      </c>
      <c r="AM917" t="s">
        <v>5362</v>
      </c>
      <c r="AN917" t="s">
        <v>13571</v>
      </c>
      <c r="AO917" t="s">
        <v>13572</v>
      </c>
      <c r="AP917" t="s">
        <v>74</v>
      </c>
      <c r="AQ917" t="s">
        <v>13623</v>
      </c>
      <c r="AR917" t="s">
        <v>13708</v>
      </c>
      <c r="AS917" t="s">
        <v>74</v>
      </c>
      <c r="AT917" t="s">
        <v>74</v>
      </c>
      <c r="AU917">
        <v>2006</v>
      </c>
      <c r="AV917">
        <v>44</v>
      </c>
      <c r="AW917" t="s">
        <v>74</v>
      </c>
      <c r="AX917" t="s">
        <v>74</v>
      </c>
      <c r="AY917" t="s">
        <v>74</v>
      </c>
      <c r="AZ917" t="s">
        <v>74</v>
      </c>
      <c r="BA917" t="s">
        <v>74</v>
      </c>
      <c r="BB917">
        <v>177</v>
      </c>
      <c r="BC917">
        <v>182</v>
      </c>
      <c r="BD917" t="s">
        <v>74</v>
      </c>
      <c r="BE917" t="s">
        <v>13709</v>
      </c>
      <c r="BF917" t="str">
        <f>HYPERLINK("http://dx.doi.org/10.3189/172756406781811835","http://dx.doi.org/10.3189/172756406781811835")</f>
        <v>http://dx.doi.org/10.3189/172756406781811835</v>
      </c>
      <c r="BG917" t="s">
        <v>74</v>
      </c>
      <c r="BH917" t="s">
        <v>74</v>
      </c>
      <c r="BI917">
        <v>6</v>
      </c>
      <c r="BJ917" t="s">
        <v>13625</v>
      </c>
      <c r="BK917" t="s">
        <v>12886</v>
      </c>
      <c r="BL917" t="s">
        <v>13626</v>
      </c>
      <c r="BM917" t="s">
        <v>13627</v>
      </c>
      <c r="BN917" t="s">
        <v>74</v>
      </c>
      <c r="BO917" t="s">
        <v>460</v>
      </c>
      <c r="BP917" t="s">
        <v>74</v>
      </c>
      <c r="BQ917" t="s">
        <v>74</v>
      </c>
      <c r="BR917" t="s">
        <v>100</v>
      </c>
      <c r="BS917" t="s">
        <v>13710</v>
      </c>
      <c r="BT917" t="str">
        <f>HYPERLINK("https%3A%2F%2Fwww.webofscience.com%2Fwos%2Fwoscc%2Ffull-record%2FWOS:000246685800028","View Full Record in Web of Science")</f>
        <v>View Full Record in Web of Science</v>
      </c>
    </row>
    <row r="918" spans="1:72" x14ac:dyDescent="0.15">
      <c r="A918" t="s">
        <v>12866</v>
      </c>
      <c r="B918" t="s">
        <v>13711</v>
      </c>
      <c r="C918" t="s">
        <v>74</v>
      </c>
      <c r="D918" t="s">
        <v>13609</v>
      </c>
      <c r="E918" t="s">
        <v>74</v>
      </c>
      <c r="F918" t="s">
        <v>13712</v>
      </c>
      <c r="G918" t="s">
        <v>74</v>
      </c>
      <c r="H918" t="s">
        <v>74</v>
      </c>
      <c r="I918" t="s">
        <v>13713</v>
      </c>
      <c r="J918" t="s">
        <v>13612</v>
      </c>
      <c r="K918" t="s">
        <v>13556</v>
      </c>
      <c r="L918" t="s">
        <v>74</v>
      </c>
      <c r="M918" t="s">
        <v>78</v>
      </c>
      <c r="N918" t="s">
        <v>12873</v>
      </c>
      <c r="O918" t="s">
        <v>13613</v>
      </c>
      <c r="P918" t="s">
        <v>13614</v>
      </c>
      <c r="Q918" t="s">
        <v>13615</v>
      </c>
      <c r="R918" t="s">
        <v>74</v>
      </c>
      <c r="S918" t="s">
        <v>74</v>
      </c>
      <c r="T918" t="s">
        <v>74</v>
      </c>
      <c r="U918" t="s">
        <v>13714</v>
      </c>
      <c r="V918" t="s">
        <v>13715</v>
      </c>
      <c r="W918" t="s">
        <v>13716</v>
      </c>
      <c r="X918" t="s">
        <v>13717</v>
      </c>
      <c r="Y918" t="s">
        <v>13718</v>
      </c>
      <c r="Z918" t="s">
        <v>13719</v>
      </c>
      <c r="AA918" t="s">
        <v>13720</v>
      </c>
      <c r="AB918" t="s">
        <v>13721</v>
      </c>
      <c r="AC918" t="s">
        <v>13722</v>
      </c>
      <c r="AD918" t="s">
        <v>13723</v>
      </c>
      <c r="AE918" t="s">
        <v>13724</v>
      </c>
      <c r="AF918" t="s">
        <v>74</v>
      </c>
      <c r="AG918">
        <v>15</v>
      </c>
      <c r="AH918">
        <v>12</v>
      </c>
      <c r="AI918">
        <v>14</v>
      </c>
      <c r="AJ918">
        <v>0</v>
      </c>
      <c r="AK918">
        <v>5</v>
      </c>
      <c r="AL918" t="s">
        <v>13570</v>
      </c>
      <c r="AM918" t="s">
        <v>5362</v>
      </c>
      <c r="AN918" t="s">
        <v>13571</v>
      </c>
      <c r="AO918" t="s">
        <v>13572</v>
      </c>
      <c r="AP918" t="s">
        <v>74</v>
      </c>
      <c r="AQ918" t="s">
        <v>13623</v>
      </c>
      <c r="AR918" t="s">
        <v>13574</v>
      </c>
      <c r="AS918" t="s">
        <v>74</v>
      </c>
      <c r="AT918" t="s">
        <v>74</v>
      </c>
      <c r="AU918">
        <v>2006</v>
      </c>
      <c r="AV918">
        <v>44</v>
      </c>
      <c r="AW918" t="s">
        <v>74</v>
      </c>
      <c r="AX918" t="s">
        <v>74</v>
      </c>
      <c r="AY918" t="s">
        <v>74</v>
      </c>
      <c r="AZ918" t="s">
        <v>74</v>
      </c>
      <c r="BA918" t="s">
        <v>74</v>
      </c>
      <c r="BB918">
        <v>211</v>
      </c>
      <c r="BC918" t="s">
        <v>7504</v>
      </c>
      <c r="BD918" t="s">
        <v>74</v>
      </c>
      <c r="BE918" t="s">
        <v>13725</v>
      </c>
      <c r="BF918" t="str">
        <f>HYPERLINK("http://dx.doi.org/10.3189/172756406781811871","http://dx.doi.org/10.3189/172756406781811871")</f>
        <v>http://dx.doi.org/10.3189/172756406781811871</v>
      </c>
      <c r="BG918" t="s">
        <v>74</v>
      </c>
      <c r="BH918" t="s">
        <v>74</v>
      </c>
      <c r="BI918">
        <v>2</v>
      </c>
      <c r="BJ918" t="s">
        <v>13625</v>
      </c>
      <c r="BK918" t="s">
        <v>12886</v>
      </c>
      <c r="BL918" t="s">
        <v>13626</v>
      </c>
      <c r="BM918" t="s">
        <v>13627</v>
      </c>
      <c r="BN918" t="s">
        <v>74</v>
      </c>
      <c r="BO918" t="s">
        <v>460</v>
      </c>
      <c r="BP918" t="s">
        <v>74</v>
      </c>
      <c r="BQ918" t="s">
        <v>74</v>
      </c>
      <c r="BR918" t="s">
        <v>100</v>
      </c>
      <c r="BS918" t="s">
        <v>13726</v>
      </c>
      <c r="BT918" t="str">
        <f>HYPERLINK("https%3A%2F%2Fwww.webofscience.com%2Fwos%2Fwoscc%2Ffull-record%2FWOS:000246685800034","View Full Record in Web of Science")</f>
        <v>View Full Record in Web of Science</v>
      </c>
    </row>
    <row r="919" spans="1:72" x14ac:dyDescent="0.15">
      <c r="A919" t="s">
        <v>12866</v>
      </c>
      <c r="B919" t="s">
        <v>13727</v>
      </c>
      <c r="C919" t="s">
        <v>74</v>
      </c>
      <c r="D919" t="s">
        <v>13609</v>
      </c>
      <c r="E919" t="s">
        <v>74</v>
      </c>
      <c r="F919" t="s">
        <v>13728</v>
      </c>
      <c r="G919" t="s">
        <v>74</v>
      </c>
      <c r="H919" t="s">
        <v>74</v>
      </c>
      <c r="I919" t="s">
        <v>13729</v>
      </c>
      <c r="J919" t="s">
        <v>13612</v>
      </c>
      <c r="K919" t="s">
        <v>13556</v>
      </c>
      <c r="L919" t="s">
        <v>74</v>
      </c>
      <c r="M919" t="s">
        <v>78</v>
      </c>
      <c r="N919" t="s">
        <v>12873</v>
      </c>
      <c r="O919" t="s">
        <v>13613</v>
      </c>
      <c r="P919" t="s">
        <v>13614</v>
      </c>
      <c r="Q919" t="s">
        <v>13615</v>
      </c>
      <c r="R919" t="s">
        <v>74</v>
      </c>
      <c r="S919" t="s">
        <v>74</v>
      </c>
      <c r="T919" t="s">
        <v>74</v>
      </c>
      <c r="U919" t="s">
        <v>13730</v>
      </c>
      <c r="V919" t="s">
        <v>13731</v>
      </c>
      <c r="W919" t="s">
        <v>13732</v>
      </c>
      <c r="X919" t="s">
        <v>13733</v>
      </c>
      <c r="Y919" t="s">
        <v>13734</v>
      </c>
      <c r="Z919" t="s">
        <v>13735</v>
      </c>
      <c r="AA919" t="s">
        <v>13736</v>
      </c>
      <c r="AB919" t="s">
        <v>74</v>
      </c>
      <c r="AC919" t="s">
        <v>13737</v>
      </c>
      <c r="AD919" t="s">
        <v>13738</v>
      </c>
      <c r="AE919" t="s">
        <v>13739</v>
      </c>
      <c r="AF919" t="s">
        <v>74</v>
      </c>
      <c r="AG919">
        <v>28</v>
      </c>
      <c r="AH919">
        <v>16</v>
      </c>
      <c r="AI919">
        <v>18</v>
      </c>
      <c r="AJ919">
        <v>0</v>
      </c>
      <c r="AK919">
        <v>4</v>
      </c>
      <c r="AL919" t="s">
        <v>13570</v>
      </c>
      <c r="AM919" t="s">
        <v>5362</v>
      </c>
      <c r="AN919" t="s">
        <v>13571</v>
      </c>
      <c r="AO919" t="s">
        <v>13572</v>
      </c>
      <c r="AP919" t="s">
        <v>74</v>
      </c>
      <c r="AQ919" t="s">
        <v>13623</v>
      </c>
      <c r="AR919" t="s">
        <v>13574</v>
      </c>
      <c r="AS919" t="s">
        <v>74</v>
      </c>
      <c r="AT919" t="s">
        <v>74</v>
      </c>
      <c r="AU919">
        <v>2006</v>
      </c>
      <c r="AV919">
        <v>44</v>
      </c>
      <c r="AW919" t="s">
        <v>74</v>
      </c>
      <c r="AX919" t="s">
        <v>74</v>
      </c>
      <c r="AY919" t="s">
        <v>74</v>
      </c>
      <c r="AZ919" t="s">
        <v>74</v>
      </c>
      <c r="BA919" t="s">
        <v>74</v>
      </c>
      <c r="BB919">
        <v>217</v>
      </c>
      <c r="BC919" t="s">
        <v>7504</v>
      </c>
      <c r="BD919" t="s">
        <v>74</v>
      </c>
      <c r="BE919" t="s">
        <v>13740</v>
      </c>
      <c r="BF919" t="str">
        <f>HYPERLINK("http://dx.doi.org/10.3189/172756406781811772","http://dx.doi.org/10.3189/172756406781811772")</f>
        <v>http://dx.doi.org/10.3189/172756406781811772</v>
      </c>
      <c r="BG919" t="s">
        <v>74</v>
      </c>
      <c r="BH919" t="s">
        <v>74</v>
      </c>
      <c r="BI919">
        <v>2</v>
      </c>
      <c r="BJ919" t="s">
        <v>13625</v>
      </c>
      <c r="BK919" t="s">
        <v>12886</v>
      </c>
      <c r="BL919" t="s">
        <v>13626</v>
      </c>
      <c r="BM919" t="s">
        <v>13627</v>
      </c>
      <c r="BN919" t="s">
        <v>74</v>
      </c>
      <c r="BO919" t="s">
        <v>164</v>
      </c>
      <c r="BP919" t="s">
        <v>74</v>
      </c>
      <c r="BQ919" t="s">
        <v>74</v>
      </c>
      <c r="BR919" t="s">
        <v>100</v>
      </c>
      <c r="BS919" t="s">
        <v>13741</v>
      </c>
      <c r="BT919" t="str">
        <f>HYPERLINK("https%3A%2F%2Fwww.webofscience.com%2Fwos%2Fwoscc%2Ffull-record%2FWOS:000246685800035","View Full Record in Web of Science")</f>
        <v>View Full Record in Web of Science</v>
      </c>
    </row>
    <row r="920" spans="1:72" x14ac:dyDescent="0.15">
      <c r="A920" t="s">
        <v>12866</v>
      </c>
      <c r="B920" t="s">
        <v>13742</v>
      </c>
      <c r="C920" t="s">
        <v>74</v>
      </c>
      <c r="D920" t="s">
        <v>13609</v>
      </c>
      <c r="E920" t="s">
        <v>74</v>
      </c>
      <c r="F920" t="s">
        <v>13743</v>
      </c>
      <c r="G920" t="s">
        <v>74</v>
      </c>
      <c r="H920" t="s">
        <v>74</v>
      </c>
      <c r="I920" t="s">
        <v>13744</v>
      </c>
      <c r="J920" t="s">
        <v>13612</v>
      </c>
      <c r="K920" t="s">
        <v>13556</v>
      </c>
      <c r="L920" t="s">
        <v>74</v>
      </c>
      <c r="M920" t="s">
        <v>78</v>
      </c>
      <c r="N920" t="s">
        <v>12873</v>
      </c>
      <c r="O920" t="s">
        <v>13613</v>
      </c>
      <c r="P920" t="s">
        <v>13614</v>
      </c>
      <c r="Q920" t="s">
        <v>13615</v>
      </c>
      <c r="R920" t="s">
        <v>74</v>
      </c>
      <c r="S920" t="s">
        <v>74</v>
      </c>
      <c r="T920" t="s">
        <v>74</v>
      </c>
      <c r="U920" t="s">
        <v>13745</v>
      </c>
      <c r="V920" t="s">
        <v>13746</v>
      </c>
      <c r="W920" t="s">
        <v>13747</v>
      </c>
      <c r="X920" t="s">
        <v>13748</v>
      </c>
      <c r="Y920" t="s">
        <v>13749</v>
      </c>
      <c r="Z920" t="s">
        <v>13750</v>
      </c>
      <c r="AA920" t="s">
        <v>74</v>
      </c>
      <c r="AB920" t="s">
        <v>74</v>
      </c>
      <c r="AC920" t="s">
        <v>74</v>
      </c>
      <c r="AD920" t="s">
        <v>74</v>
      </c>
      <c r="AE920" t="s">
        <v>74</v>
      </c>
      <c r="AF920" t="s">
        <v>74</v>
      </c>
      <c r="AG920">
        <v>34</v>
      </c>
      <c r="AH920">
        <v>23</v>
      </c>
      <c r="AI920">
        <v>28</v>
      </c>
      <c r="AJ920">
        <v>0</v>
      </c>
      <c r="AK920">
        <v>4</v>
      </c>
      <c r="AL920" t="s">
        <v>13570</v>
      </c>
      <c r="AM920" t="s">
        <v>5362</v>
      </c>
      <c r="AN920" t="s">
        <v>13571</v>
      </c>
      <c r="AO920" t="s">
        <v>13572</v>
      </c>
      <c r="AP920" t="s">
        <v>74</v>
      </c>
      <c r="AQ920" t="s">
        <v>13623</v>
      </c>
      <c r="AR920" t="s">
        <v>13574</v>
      </c>
      <c r="AS920" t="s">
        <v>74</v>
      </c>
      <c r="AT920" t="s">
        <v>74</v>
      </c>
      <c r="AU920">
        <v>2006</v>
      </c>
      <c r="AV920">
        <v>44</v>
      </c>
      <c r="AW920" t="s">
        <v>74</v>
      </c>
      <c r="AX920" t="s">
        <v>74</v>
      </c>
      <c r="AY920" t="s">
        <v>74</v>
      </c>
      <c r="AZ920" t="s">
        <v>74</v>
      </c>
      <c r="BA920" t="s">
        <v>74</v>
      </c>
      <c r="BB920">
        <v>231</v>
      </c>
      <c r="BC920">
        <v>239</v>
      </c>
      <c r="BD920" t="s">
        <v>74</v>
      </c>
      <c r="BE920" t="s">
        <v>13751</v>
      </c>
      <c r="BF920" t="str">
        <f>HYPERLINK("http://dx.doi.org/10.3189/172756406781811367","http://dx.doi.org/10.3189/172756406781811367")</f>
        <v>http://dx.doi.org/10.3189/172756406781811367</v>
      </c>
      <c r="BG920" t="s">
        <v>74</v>
      </c>
      <c r="BH920" t="s">
        <v>74</v>
      </c>
      <c r="BI920">
        <v>9</v>
      </c>
      <c r="BJ920" t="s">
        <v>13625</v>
      </c>
      <c r="BK920" t="s">
        <v>12886</v>
      </c>
      <c r="BL920" t="s">
        <v>13626</v>
      </c>
      <c r="BM920" t="s">
        <v>13627</v>
      </c>
      <c r="BN920" t="s">
        <v>74</v>
      </c>
      <c r="BO920" t="s">
        <v>460</v>
      </c>
      <c r="BP920" t="s">
        <v>74</v>
      </c>
      <c r="BQ920" t="s">
        <v>74</v>
      </c>
      <c r="BR920" t="s">
        <v>100</v>
      </c>
      <c r="BS920" t="s">
        <v>13752</v>
      </c>
      <c r="BT920" t="str">
        <f>HYPERLINK("https%3A%2F%2Fwww.webofscience.com%2Fwos%2Fwoscc%2Ffull-record%2FWOS:000246685800037","View Full Record in Web of Science")</f>
        <v>View Full Record in Web of Science</v>
      </c>
    </row>
    <row r="921" spans="1:72" x14ac:dyDescent="0.15">
      <c r="A921" t="s">
        <v>12866</v>
      </c>
      <c r="B921" t="s">
        <v>13753</v>
      </c>
      <c r="C921" t="s">
        <v>74</v>
      </c>
      <c r="D921" t="s">
        <v>13609</v>
      </c>
      <c r="E921" t="s">
        <v>74</v>
      </c>
      <c r="F921" t="s">
        <v>13754</v>
      </c>
      <c r="G921" t="s">
        <v>74</v>
      </c>
      <c r="H921" t="s">
        <v>74</v>
      </c>
      <c r="I921" t="s">
        <v>13755</v>
      </c>
      <c r="J921" t="s">
        <v>13612</v>
      </c>
      <c r="K921" t="s">
        <v>13556</v>
      </c>
      <c r="L921" t="s">
        <v>74</v>
      </c>
      <c r="M921" t="s">
        <v>78</v>
      </c>
      <c r="N921" t="s">
        <v>12873</v>
      </c>
      <c r="O921" t="s">
        <v>13613</v>
      </c>
      <c r="P921" t="s">
        <v>13614</v>
      </c>
      <c r="Q921" t="s">
        <v>13615</v>
      </c>
      <c r="R921" t="s">
        <v>74</v>
      </c>
      <c r="S921" t="s">
        <v>74</v>
      </c>
      <c r="T921" t="s">
        <v>74</v>
      </c>
      <c r="U921" t="s">
        <v>13756</v>
      </c>
      <c r="V921" t="s">
        <v>13757</v>
      </c>
      <c r="W921" t="s">
        <v>13758</v>
      </c>
      <c r="X921" t="s">
        <v>13759</v>
      </c>
      <c r="Y921" t="s">
        <v>13760</v>
      </c>
      <c r="Z921" t="s">
        <v>13761</v>
      </c>
      <c r="AA921" t="s">
        <v>13762</v>
      </c>
      <c r="AB921" t="s">
        <v>74</v>
      </c>
      <c r="AC921" t="s">
        <v>74</v>
      </c>
      <c r="AD921" t="s">
        <v>74</v>
      </c>
      <c r="AE921" t="s">
        <v>74</v>
      </c>
      <c r="AF921" t="s">
        <v>74</v>
      </c>
      <c r="AG921">
        <v>21</v>
      </c>
      <c r="AH921">
        <v>6</v>
      </c>
      <c r="AI921">
        <v>7</v>
      </c>
      <c r="AJ921">
        <v>0</v>
      </c>
      <c r="AK921">
        <v>3</v>
      </c>
      <c r="AL921" t="s">
        <v>13570</v>
      </c>
      <c r="AM921" t="s">
        <v>5362</v>
      </c>
      <c r="AN921" t="s">
        <v>13571</v>
      </c>
      <c r="AO921" t="s">
        <v>13572</v>
      </c>
      <c r="AP921" t="s">
        <v>74</v>
      </c>
      <c r="AQ921" t="s">
        <v>13623</v>
      </c>
      <c r="AR921" t="s">
        <v>13574</v>
      </c>
      <c r="AS921" t="s">
        <v>74</v>
      </c>
      <c r="AT921" t="s">
        <v>74</v>
      </c>
      <c r="AU921">
        <v>2006</v>
      </c>
      <c r="AV921">
        <v>44</v>
      </c>
      <c r="AW921" t="s">
        <v>74</v>
      </c>
      <c r="AX921" t="s">
        <v>74</v>
      </c>
      <c r="AY921" t="s">
        <v>74</v>
      </c>
      <c r="AZ921" t="s">
        <v>74</v>
      </c>
      <c r="BA921" t="s">
        <v>74</v>
      </c>
      <c r="BB921">
        <v>240</v>
      </c>
      <c r="BC921" t="s">
        <v>7504</v>
      </c>
      <c r="BD921" t="s">
        <v>74</v>
      </c>
      <c r="BE921" t="s">
        <v>13763</v>
      </c>
      <c r="BF921" t="str">
        <f>HYPERLINK("http://dx.doi.org/10.3189/172756406781811484","http://dx.doi.org/10.3189/172756406781811484")</f>
        <v>http://dx.doi.org/10.3189/172756406781811484</v>
      </c>
      <c r="BG921" t="s">
        <v>74</v>
      </c>
      <c r="BH921" t="s">
        <v>74</v>
      </c>
      <c r="BI921">
        <v>2</v>
      </c>
      <c r="BJ921" t="s">
        <v>13625</v>
      </c>
      <c r="BK921" t="s">
        <v>12886</v>
      </c>
      <c r="BL921" t="s">
        <v>13626</v>
      </c>
      <c r="BM921" t="s">
        <v>13627</v>
      </c>
      <c r="BN921" t="s">
        <v>74</v>
      </c>
      <c r="BO921" t="s">
        <v>1767</v>
      </c>
      <c r="BP921" t="s">
        <v>74</v>
      </c>
      <c r="BQ921" t="s">
        <v>74</v>
      </c>
      <c r="BR921" t="s">
        <v>100</v>
      </c>
      <c r="BS921" t="s">
        <v>13764</v>
      </c>
      <c r="BT921" t="str">
        <f>HYPERLINK("https%3A%2F%2Fwww.webofscience.com%2Fwos%2Fwoscc%2Ffull-record%2FWOS:000246685800038","View Full Record in Web of Science")</f>
        <v>View Full Record in Web of Science</v>
      </c>
    </row>
    <row r="922" spans="1:72" x14ac:dyDescent="0.15">
      <c r="A922" t="s">
        <v>12866</v>
      </c>
      <c r="B922" t="s">
        <v>13765</v>
      </c>
      <c r="C922" t="s">
        <v>74</v>
      </c>
      <c r="D922" t="s">
        <v>13609</v>
      </c>
      <c r="E922" t="s">
        <v>74</v>
      </c>
      <c r="F922" t="s">
        <v>13766</v>
      </c>
      <c r="G922" t="s">
        <v>74</v>
      </c>
      <c r="H922" t="s">
        <v>74</v>
      </c>
      <c r="I922" t="s">
        <v>13767</v>
      </c>
      <c r="J922" t="s">
        <v>13612</v>
      </c>
      <c r="K922" t="s">
        <v>13556</v>
      </c>
      <c r="L922" t="s">
        <v>74</v>
      </c>
      <c r="M922" t="s">
        <v>78</v>
      </c>
      <c r="N922" t="s">
        <v>12873</v>
      </c>
      <c r="O922" t="s">
        <v>13613</v>
      </c>
      <c r="P922" t="s">
        <v>13614</v>
      </c>
      <c r="Q922" t="s">
        <v>13615</v>
      </c>
      <c r="R922" t="s">
        <v>74</v>
      </c>
      <c r="S922" t="s">
        <v>74</v>
      </c>
      <c r="T922" t="s">
        <v>74</v>
      </c>
      <c r="U922" t="s">
        <v>13768</v>
      </c>
      <c r="V922" t="s">
        <v>13769</v>
      </c>
      <c r="W922" t="s">
        <v>13770</v>
      </c>
      <c r="X922" t="s">
        <v>13771</v>
      </c>
      <c r="Y922" t="s">
        <v>13772</v>
      </c>
      <c r="Z922" t="s">
        <v>13773</v>
      </c>
      <c r="AA922" t="s">
        <v>13774</v>
      </c>
      <c r="AB922" t="s">
        <v>13775</v>
      </c>
      <c r="AC922" t="s">
        <v>13776</v>
      </c>
      <c r="AD922" t="s">
        <v>13777</v>
      </c>
      <c r="AE922" t="s">
        <v>13778</v>
      </c>
      <c r="AF922" t="s">
        <v>74</v>
      </c>
      <c r="AG922">
        <v>28</v>
      </c>
      <c r="AH922">
        <v>19</v>
      </c>
      <c r="AI922">
        <v>19</v>
      </c>
      <c r="AJ922">
        <v>0</v>
      </c>
      <c r="AK922">
        <v>9</v>
      </c>
      <c r="AL922" t="s">
        <v>13570</v>
      </c>
      <c r="AM922" t="s">
        <v>5362</v>
      </c>
      <c r="AN922" t="s">
        <v>13571</v>
      </c>
      <c r="AO922" t="s">
        <v>13572</v>
      </c>
      <c r="AP922" t="s">
        <v>74</v>
      </c>
      <c r="AQ922" t="s">
        <v>13623</v>
      </c>
      <c r="AR922" t="s">
        <v>13574</v>
      </c>
      <c r="AS922" t="s">
        <v>74</v>
      </c>
      <c r="AT922" t="s">
        <v>74</v>
      </c>
      <c r="AU922">
        <v>2006</v>
      </c>
      <c r="AV922">
        <v>44</v>
      </c>
      <c r="AW922" t="s">
        <v>74</v>
      </c>
      <c r="AX922" t="s">
        <v>74</v>
      </c>
      <c r="AY922" t="s">
        <v>74</v>
      </c>
      <c r="AZ922" t="s">
        <v>74</v>
      </c>
      <c r="BA922" t="s">
        <v>74</v>
      </c>
      <c r="BB922">
        <v>269</v>
      </c>
      <c r="BC922" t="s">
        <v>7504</v>
      </c>
      <c r="BD922" t="s">
        <v>74</v>
      </c>
      <c r="BE922" t="s">
        <v>13779</v>
      </c>
      <c r="BF922" t="str">
        <f>HYPERLINK("http://dx.doi.org/10.3189/172756406781811745","http://dx.doi.org/10.3189/172756406781811745")</f>
        <v>http://dx.doi.org/10.3189/172756406781811745</v>
      </c>
      <c r="BG922" t="s">
        <v>74</v>
      </c>
      <c r="BH922" t="s">
        <v>74</v>
      </c>
      <c r="BI922">
        <v>2</v>
      </c>
      <c r="BJ922" t="s">
        <v>13625</v>
      </c>
      <c r="BK922" t="s">
        <v>12886</v>
      </c>
      <c r="BL922" t="s">
        <v>13626</v>
      </c>
      <c r="BM922" t="s">
        <v>13627</v>
      </c>
      <c r="BN922" t="s">
        <v>74</v>
      </c>
      <c r="BO922" t="s">
        <v>13780</v>
      </c>
      <c r="BP922" t="s">
        <v>74</v>
      </c>
      <c r="BQ922" t="s">
        <v>74</v>
      </c>
      <c r="BR922" t="s">
        <v>100</v>
      </c>
      <c r="BS922" t="s">
        <v>13781</v>
      </c>
      <c r="BT922" t="str">
        <f>HYPERLINK("https%3A%2F%2Fwww.webofscience.com%2Fwos%2Fwoscc%2Ffull-record%2FWOS:000246685800042","View Full Record in Web of Science")</f>
        <v>View Full Record in Web of Science</v>
      </c>
    </row>
    <row r="923" spans="1:72" x14ac:dyDescent="0.15">
      <c r="A923" t="s">
        <v>12866</v>
      </c>
      <c r="B923" t="s">
        <v>13782</v>
      </c>
      <c r="C923" t="s">
        <v>74</v>
      </c>
      <c r="D923" t="s">
        <v>13609</v>
      </c>
      <c r="E923" t="s">
        <v>74</v>
      </c>
      <c r="F923" t="s">
        <v>13783</v>
      </c>
      <c r="G923" t="s">
        <v>74</v>
      </c>
      <c r="H923" t="s">
        <v>74</v>
      </c>
      <c r="I923" t="s">
        <v>13784</v>
      </c>
      <c r="J923" t="s">
        <v>13612</v>
      </c>
      <c r="K923" t="s">
        <v>13556</v>
      </c>
      <c r="L923" t="s">
        <v>74</v>
      </c>
      <c r="M923" t="s">
        <v>78</v>
      </c>
      <c r="N923" t="s">
        <v>12873</v>
      </c>
      <c r="O923" t="s">
        <v>13613</v>
      </c>
      <c r="P923" t="s">
        <v>13614</v>
      </c>
      <c r="Q923" t="s">
        <v>13615</v>
      </c>
      <c r="R923" t="s">
        <v>74</v>
      </c>
      <c r="S923" t="s">
        <v>74</v>
      </c>
      <c r="T923" t="s">
        <v>74</v>
      </c>
      <c r="U923" t="s">
        <v>13785</v>
      </c>
      <c r="V923" t="s">
        <v>13786</v>
      </c>
      <c r="W923" t="s">
        <v>13787</v>
      </c>
      <c r="X923" t="s">
        <v>13788</v>
      </c>
      <c r="Y923" t="s">
        <v>13789</v>
      </c>
      <c r="Z923" t="s">
        <v>13790</v>
      </c>
      <c r="AA923" t="s">
        <v>74</v>
      </c>
      <c r="AB923" t="s">
        <v>74</v>
      </c>
      <c r="AC923" t="s">
        <v>74</v>
      </c>
      <c r="AD923" t="s">
        <v>74</v>
      </c>
      <c r="AE923" t="s">
        <v>74</v>
      </c>
      <c r="AF923" t="s">
        <v>74</v>
      </c>
      <c r="AG923">
        <v>15</v>
      </c>
      <c r="AH923">
        <v>11</v>
      </c>
      <c r="AI923">
        <v>12</v>
      </c>
      <c r="AJ923">
        <v>0</v>
      </c>
      <c r="AK923">
        <v>5</v>
      </c>
      <c r="AL923" t="s">
        <v>13570</v>
      </c>
      <c r="AM923" t="s">
        <v>5362</v>
      </c>
      <c r="AN923" t="s">
        <v>13571</v>
      </c>
      <c r="AO923" t="s">
        <v>13572</v>
      </c>
      <c r="AP923" t="s">
        <v>74</v>
      </c>
      <c r="AQ923" t="s">
        <v>13623</v>
      </c>
      <c r="AR923" t="s">
        <v>13574</v>
      </c>
      <c r="AS923" t="s">
        <v>74</v>
      </c>
      <c r="AT923" t="s">
        <v>74</v>
      </c>
      <c r="AU923">
        <v>2006</v>
      </c>
      <c r="AV923">
        <v>44</v>
      </c>
      <c r="AW923" t="s">
        <v>74</v>
      </c>
      <c r="AX923" t="s">
        <v>74</v>
      </c>
      <c r="AY923" t="s">
        <v>74</v>
      </c>
      <c r="AZ923" t="s">
        <v>74</v>
      </c>
      <c r="BA923" t="s">
        <v>74</v>
      </c>
      <c r="BB923">
        <v>281</v>
      </c>
      <c r="BC923" t="s">
        <v>7504</v>
      </c>
      <c r="BD923" t="s">
        <v>74</v>
      </c>
      <c r="BE923" t="s">
        <v>13791</v>
      </c>
      <c r="BF923" t="str">
        <f>HYPERLINK("http://dx.doi.org/10.3189/172756406781811240","http://dx.doi.org/10.3189/172756406781811240")</f>
        <v>http://dx.doi.org/10.3189/172756406781811240</v>
      </c>
      <c r="BG923" t="s">
        <v>74</v>
      </c>
      <c r="BH923" t="s">
        <v>74</v>
      </c>
      <c r="BI923">
        <v>3</v>
      </c>
      <c r="BJ923" t="s">
        <v>13625</v>
      </c>
      <c r="BK923" t="s">
        <v>12886</v>
      </c>
      <c r="BL923" t="s">
        <v>13626</v>
      </c>
      <c r="BM923" t="s">
        <v>13627</v>
      </c>
      <c r="BN923" t="s">
        <v>74</v>
      </c>
      <c r="BO923" t="s">
        <v>460</v>
      </c>
      <c r="BP923" t="s">
        <v>74</v>
      </c>
      <c r="BQ923" t="s">
        <v>74</v>
      </c>
      <c r="BR923" t="s">
        <v>100</v>
      </c>
      <c r="BS923" t="s">
        <v>13792</v>
      </c>
      <c r="BT923" t="str">
        <f>HYPERLINK("https%3A%2F%2Fwww.webofscience.com%2Fwos%2Fwoscc%2Ffull-record%2FWOS:000246685800044","View Full Record in Web of Science")</f>
        <v>View Full Record in Web of Science</v>
      </c>
    </row>
    <row r="924" spans="1:72" x14ac:dyDescent="0.15">
      <c r="A924" t="s">
        <v>12866</v>
      </c>
      <c r="B924" t="s">
        <v>13793</v>
      </c>
      <c r="C924" t="s">
        <v>74</v>
      </c>
      <c r="D924" t="s">
        <v>13609</v>
      </c>
      <c r="E924" t="s">
        <v>74</v>
      </c>
      <c r="F924" t="s">
        <v>13794</v>
      </c>
      <c r="G924" t="s">
        <v>74</v>
      </c>
      <c r="H924" t="s">
        <v>74</v>
      </c>
      <c r="I924" t="s">
        <v>13795</v>
      </c>
      <c r="J924" t="s">
        <v>13612</v>
      </c>
      <c r="K924" t="s">
        <v>13556</v>
      </c>
      <c r="L924" t="s">
        <v>74</v>
      </c>
      <c r="M924" t="s">
        <v>78</v>
      </c>
      <c r="N924" t="s">
        <v>12873</v>
      </c>
      <c r="O924" t="s">
        <v>13613</v>
      </c>
      <c r="P924" t="s">
        <v>13614</v>
      </c>
      <c r="Q924" t="s">
        <v>13615</v>
      </c>
      <c r="R924" t="s">
        <v>74</v>
      </c>
      <c r="S924" t="s">
        <v>74</v>
      </c>
      <c r="T924" t="s">
        <v>74</v>
      </c>
      <c r="U924" t="s">
        <v>13796</v>
      </c>
      <c r="V924" t="s">
        <v>13797</v>
      </c>
      <c r="W924" t="s">
        <v>13798</v>
      </c>
      <c r="X924" t="s">
        <v>13799</v>
      </c>
      <c r="Y924" t="s">
        <v>13800</v>
      </c>
      <c r="Z924" t="s">
        <v>13801</v>
      </c>
      <c r="AA924" t="s">
        <v>13802</v>
      </c>
      <c r="AB924" t="s">
        <v>13803</v>
      </c>
      <c r="AC924" t="s">
        <v>13804</v>
      </c>
      <c r="AD924" t="s">
        <v>13805</v>
      </c>
      <c r="AE924" t="s">
        <v>13806</v>
      </c>
      <c r="AF924" t="s">
        <v>74</v>
      </c>
      <c r="AG924">
        <v>15</v>
      </c>
      <c r="AH924">
        <v>29</v>
      </c>
      <c r="AI924">
        <v>30</v>
      </c>
      <c r="AJ924">
        <v>0</v>
      </c>
      <c r="AK924">
        <v>5</v>
      </c>
      <c r="AL924" t="s">
        <v>13570</v>
      </c>
      <c r="AM924" t="s">
        <v>5362</v>
      </c>
      <c r="AN924" t="s">
        <v>13571</v>
      </c>
      <c r="AO924" t="s">
        <v>13572</v>
      </c>
      <c r="AP924" t="s">
        <v>74</v>
      </c>
      <c r="AQ924" t="s">
        <v>13623</v>
      </c>
      <c r="AR924" t="s">
        <v>13574</v>
      </c>
      <c r="AS924" t="s">
        <v>74</v>
      </c>
      <c r="AT924" t="s">
        <v>74</v>
      </c>
      <c r="AU924">
        <v>2006</v>
      </c>
      <c r="AV924">
        <v>44</v>
      </c>
      <c r="AW924" t="s">
        <v>74</v>
      </c>
      <c r="AX924" t="s">
        <v>74</v>
      </c>
      <c r="AY924" t="s">
        <v>74</v>
      </c>
      <c r="AZ924" t="s">
        <v>74</v>
      </c>
      <c r="BA924" t="s">
        <v>74</v>
      </c>
      <c r="BB924">
        <v>288</v>
      </c>
      <c r="BC924" t="s">
        <v>7504</v>
      </c>
      <c r="BD924" t="s">
        <v>74</v>
      </c>
      <c r="BE924" t="s">
        <v>13807</v>
      </c>
      <c r="BF924" t="str">
        <f>HYPERLINK("http://dx.doi.org/10.3189/172756406781811268","http://dx.doi.org/10.3189/172756406781811268")</f>
        <v>http://dx.doi.org/10.3189/172756406781811268</v>
      </c>
      <c r="BG924" t="s">
        <v>74</v>
      </c>
      <c r="BH924" t="s">
        <v>74</v>
      </c>
      <c r="BI924">
        <v>2</v>
      </c>
      <c r="BJ924" t="s">
        <v>13625</v>
      </c>
      <c r="BK924" t="s">
        <v>12886</v>
      </c>
      <c r="BL924" t="s">
        <v>13626</v>
      </c>
      <c r="BM924" t="s">
        <v>13627</v>
      </c>
      <c r="BN924" t="s">
        <v>74</v>
      </c>
      <c r="BO924" t="s">
        <v>13808</v>
      </c>
      <c r="BP924" t="s">
        <v>74</v>
      </c>
      <c r="BQ924" t="s">
        <v>74</v>
      </c>
      <c r="BR924" t="s">
        <v>100</v>
      </c>
      <c r="BS924" t="s">
        <v>13809</v>
      </c>
      <c r="BT924" t="str">
        <f>HYPERLINK("https%3A%2F%2Fwww.webofscience.com%2Fwos%2Fwoscc%2Ffull-record%2FWOS:000246685800045","View Full Record in Web of Science")</f>
        <v>View Full Record in Web of Science</v>
      </c>
    </row>
    <row r="925" spans="1:72" x14ac:dyDescent="0.15">
      <c r="A925" t="s">
        <v>12866</v>
      </c>
      <c r="B925" t="s">
        <v>13810</v>
      </c>
      <c r="C925" t="s">
        <v>74</v>
      </c>
      <c r="D925" t="s">
        <v>13609</v>
      </c>
      <c r="E925" t="s">
        <v>74</v>
      </c>
      <c r="F925" t="s">
        <v>13811</v>
      </c>
      <c r="G925" t="s">
        <v>74</v>
      </c>
      <c r="H925" t="s">
        <v>74</v>
      </c>
      <c r="I925" t="s">
        <v>13812</v>
      </c>
      <c r="J925" t="s">
        <v>13612</v>
      </c>
      <c r="K925" t="s">
        <v>13556</v>
      </c>
      <c r="L925" t="s">
        <v>74</v>
      </c>
      <c r="M925" t="s">
        <v>78</v>
      </c>
      <c r="N925" t="s">
        <v>12873</v>
      </c>
      <c r="O925" t="s">
        <v>13613</v>
      </c>
      <c r="P925" t="s">
        <v>13614</v>
      </c>
      <c r="Q925" t="s">
        <v>13615</v>
      </c>
      <c r="R925" t="s">
        <v>74</v>
      </c>
      <c r="S925" t="s">
        <v>74</v>
      </c>
      <c r="T925" t="s">
        <v>74</v>
      </c>
      <c r="U925" t="s">
        <v>13813</v>
      </c>
      <c r="V925" t="s">
        <v>13814</v>
      </c>
      <c r="W925" t="s">
        <v>13815</v>
      </c>
      <c r="X925" t="s">
        <v>13816</v>
      </c>
      <c r="Y925" t="s">
        <v>13817</v>
      </c>
      <c r="Z925" t="s">
        <v>13818</v>
      </c>
      <c r="AA925" t="s">
        <v>13819</v>
      </c>
      <c r="AB925" t="s">
        <v>13820</v>
      </c>
      <c r="AC925" t="s">
        <v>13821</v>
      </c>
      <c r="AD925" t="s">
        <v>13822</v>
      </c>
      <c r="AE925" t="s">
        <v>13823</v>
      </c>
      <c r="AF925" t="s">
        <v>74</v>
      </c>
      <c r="AG925">
        <v>24</v>
      </c>
      <c r="AH925">
        <v>18</v>
      </c>
      <c r="AI925">
        <v>18</v>
      </c>
      <c r="AJ925">
        <v>0</v>
      </c>
      <c r="AK925">
        <v>2</v>
      </c>
      <c r="AL925" t="s">
        <v>13570</v>
      </c>
      <c r="AM925" t="s">
        <v>5362</v>
      </c>
      <c r="AN925" t="s">
        <v>13571</v>
      </c>
      <c r="AO925" t="s">
        <v>13572</v>
      </c>
      <c r="AP925" t="s">
        <v>74</v>
      </c>
      <c r="AQ925" t="s">
        <v>13623</v>
      </c>
      <c r="AR925" t="s">
        <v>13574</v>
      </c>
      <c r="AS925" t="s">
        <v>74</v>
      </c>
      <c r="AT925" t="s">
        <v>74</v>
      </c>
      <c r="AU925">
        <v>2006</v>
      </c>
      <c r="AV925">
        <v>44</v>
      </c>
      <c r="AW925" t="s">
        <v>74</v>
      </c>
      <c r="AX925" t="s">
        <v>74</v>
      </c>
      <c r="AY925" t="s">
        <v>74</v>
      </c>
      <c r="AZ925" t="s">
        <v>74</v>
      </c>
      <c r="BA925" t="s">
        <v>74</v>
      </c>
      <c r="BB925">
        <v>297</v>
      </c>
      <c r="BC925" t="s">
        <v>7504</v>
      </c>
      <c r="BD925" t="s">
        <v>74</v>
      </c>
      <c r="BE925" t="s">
        <v>13824</v>
      </c>
      <c r="BF925" t="str">
        <f>HYPERLINK("http://dx.doi.org/10.3189/172756406781811817","http://dx.doi.org/10.3189/172756406781811817")</f>
        <v>http://dx.doi.org/10.3189/172756406781811817</v>
      </c>
      <c r="BG925" t="s">
        <v>74</v>
      </c>
      <c r="BH925" t="s">
        <v>74</v>
      </c>
      <c r="BI925">
        <v>2</v>
      </c>
      <c r="BJ925" t="s">
        <v>13625</v>
      </c>
      <c r="BK925" t="s">
        <v>12886</v>
      </c>
      <c r="BL925" t="s">
        <v>13626</v>
      </c>
      <c r="BM925" t="s">
        <v>13627</v>
      </c>
      <c r="BN925" t="s">
        <v>74</v>
      </c>
      <c r="BO925" t="s">
        <v>460</v>
      </c>
      <c r="BP925" t="s">
        <v>74</v>
      </c>
      <c r="BQ925" t="s">
        <v>74</v>
      </c>
      <c r="BR925" t="s">
        <v>100</v>
      </c>
      <c r="BS925" t="s">
        <v>13825</v>
      </c>
      <c r="BT925" t="str">
        <f>HYPERLINK("https%3A%2F%2Fwww.webofscience.com%2Fwos%2Fwoscc%2Ffull-record%2FWOS:000246685800046","View Full Record in Web of Science")</f>
        <v>View Full Record in Web of Science</v>
      </c>
    </row>
    <row r="926" spans="1:72" x14ac:dyDescent="0.15">
      <c r="A926" t="s">
        <v>12866</v>
      </c>
      <c r="B926" t="s">
        <v>13826</v>
      </c>
      <c r="C926" t="s">
        <v>74</v>
      </c>
      <c r="D926" t="s">
        <v>13609</v>
      </c>
      <c r="E926" t="s">
        <v>74</v>
      </c>
      <c r="F926" t="s">
        <v>13827</v>
      </c>
      <c r="G926" t="s">
        <v>74</v>
      </c>
      <c r="H926" t="s">
        <v>74</v>
      </c>
      <c r="I926" t="s">
        <v>13828</v>
      </c>
      <c r="J926" t="s">
        <v>13612</v>
      </c>
      <c r="K926" t="s">
        <v>13556</v>
      </c>
      <c r="L926" t="s">
        <v>74</v>
      </c>
      <c r="M926" t="s">
        <v>78</v>
      </c>
      <c r="N926" t="s">
        <v>12873</v>
      </c>
      <c r="O926" t="s">
        <v>13613</v>
      </c>
      <c r="P926" t="s">
        <v>13614</v>
      </c>
      <c r="Q926" t="s">
        <v>13615</v>
      </c>
      <c r="R926" t="s">
        <v>74</v>
      </c>
      <c r="S926" t="s">
        <v>74</v>
      </c>
      <c r="T926" t="s">
        <v>74</v>
      </c>
      <c r="U926" t="s">
        <v>13829</v>
      </c>
      <c r="V926" t="s">
        <v>13830</v>
      </c>
      <c r="W926" t="s">
        <v>13831</v>
      </c>
      <c r="X926" t="s">
        <v>13832</v>
      </c>
      <c r="Y926" t="s">
        <v>13833</v>
      </c>
      <c r="Z926" t="s">
        <v>13834</v>
      </c>
      <c r="AA926" t="s">
        <v>74</v>
      </c>
      <c r="AB926" t="s">
        <v>74</v>
      </c>
      <c r="AC926" t="s">
        <v>13835</v>
      </c>
      <c r="AD926" t="s">
        <v>13836</v>
      </c>
      <c r="AE926" t="s">
        <v>13837</v>
      </c>
      <c r="AF926" t="s">
        <v>74</v>
      </c>
      <c r="AG926">
        <v>11</v>
      </c>
      <c r="AH926">
        <v>21</v>
      </c>
      <c r="AI926">
        <v>30</v>
      </c>
      <c r="AJ926">
        <v>0</v>
      </c>
      <c r="AK926">
        <v>4</v>
      </c>
      <c r="AL926" t="s">
        <v>13570</v>
      </c>
      <c r="AM926" t="s">
        <v>5362</v>
      </c>
      <c r="AN926" t="s">
        <v>13571</v>
      </c>
      <c r="AO926" t="s">
        <v>13572</v>
      </c>
      <c r="AP926" t="s">
        <v>74</v>
      </c>
      <c r="AQ926" t="s">
        <v>13623</v>
      </c>
      <c r="AR926" t="s">
        <v>13574</v>
      </c>
      <c r="AS926" t="s">
        <v>74</v>
      </c>
      <c r="AT926" t="s">
        <v>74</v>
      </c>
      <c r="AU926">
        <v>2006</v>
      </c>
      <c r="AV926">
        <v>44</v>
      </c>
      <c r="AW926" t="s">
        <v>74</v>
      </c>
      <c r="AX926" t="s">
        <v>74</v>
      </c>
      <c r="AY926" t="s">
        <v>74</v>
      </c>
      <c r="AZ926" t="s">
        <v>74</v>
      </c>
      <c r="BA926" t="s">
        <v>74</v>
      </c>
      <c r="BB926">
        <v>303</v>
      </c>
      <c r="BC926" t="s">
        <v>7504</v>
      </c>
      <c r="BD926" t="s">
        <v>74</v>
      </c>
      <c r="BE926" t="s">
        <v>13838</v>
      </c>
      <c r="BF926" t="str">
        <f>HYPERLINK("http://dx.doi.org/10.3189/172756406781811466","http://dx.doi.org/10.3189/172756406781811466")</f>
        <v>http://dx.doi.org/10.3189/172756406781811466</v>
      </c>
      <c r="BG926" t="s">
        <v>74</v>
      </c>
      <c r="BH926" t="s">
        <v>74</v>
      </c>
      <c r="BI926">
        <v>2</v>
      </c>
      <c r="BJ926" t="s">
        <v>13625</v>
      </c>
      <c r="BK926" t="s">
        <v>12886</v>
      </c>
      <c r="BL926" t="s">
        <v>13626</v>
      </c>
      <c r="BM926" t="s">
        <v>13627</v>
      </c>
      <c r="BN926" t="s">
        <v>74</v>
      </c>
      <c r="BO926" t="s">
        <v>460</v>
      </c>
      <c r="BP926" t="s">
        <v>74</v>
      </c>
      <c r="BQ926" t="s">
        <v>74</v>
      </c>
      <c r="BR926" t="s">
        <v>100</v>
      </c>
      <c r="BS926" t="s">
        <v>13839</v>
      </c>
      <c r="BT926" t="str">
        <f>HYPERLINK("https%3A%2F%2Fwww.webofscience.com%2Fwos%2Fwoscc%2Ffull-record%2FWOS:000246685800047","View Full Record in Web of Science")</f>
        <v>View Full Record in Web of Science</v>
      </c>
    </row>
    <row r="927" spans="1:72" x14ac:dyDescent="0.15">
      <c r="A927" t="s">
        <v>12866</v>
      </c>
      <c r="B927" t="s">
        <v>13840</v>
      </c>
      <c r="C927" t="s">
        <v>74</v>
      </c>
      <c r="D927" t="s">
        <v>13609</v>
      </c>
      <c r="E927" t="s">
        <v>74</v>
      </c>
      <c r="F927" t="s">
        <v>13841</v>
      </c>
      <c r="G927" t="s">
        <v>74</v>
      </c>
      <c r="H927" t="s">
        <v>74</v>
      </c>
      <c r="I927" t="s">
        <v>13842</v>
      </c>
      <c r="J927" t="s">
        <v>13612</v>
      </c>
      <c r="K927" t="s">
        <v>13556</v>
      </c>
      <c r="L927" t="s">
        <v>74</v>
      </c>
      <c r="M927" t="s">
        <v>78</v>
      </c>
      <c r="N927" t="s">
        <v>12873</v>
      </c>
      <c r="O927" t="s">
        <v>13613</v>
      </c>
      <c r="P927" t="s">
        <v>13614</v>
      </c>
      <c r="Q927" t="s">
        <v>13615</v>
      </c>
      <c r="R927" t="s">
        <v>74</v>
      </c>
      <c r="S927" t="s">
        <v>74</v>
      </c>
      <c r="T927" t="s">
        <v>74</v>
      </c>
      <c r="U927" t="s">
        <v>13843</v>
      </c>
      <c r="V927" t="s">
        <v>13844</v>
      </c>
      <c r="W927" t="s">
        <v>13845</v>
      </c>
      <c r="X927" t="s">
        <v>13846</v>
      </c>
      <c r="Y927" t="s">
        <v>13847</v>
      </c>
      <c r="Z927" t="s">
        <v>13848</v>
      </c>
      <c r="AA927" t="s">
        <v>9303</v>
      </c>
      <c r="AB927" t="s">
        <v>13849</v>
      </c>
      <c r="AC927" t="s">
        <v>13850</v>
      </c>
      <c r="AD927" t="s">
        <v>13851</v>
      </c>
      <c r="AE927" t="s">
        <v>13852</v>
      </c>
      <c r="AF927" t="s">
        <v>74</v>
      </c>
      <c r="AG927">
        <v>14</v>
      </c>
      <c r="AH927">
        <v>32</v>
      </c>
      <c r="AI927">
        <v>35</v>
      </c>
      <c r="AJ927">
        <v>0</v>
      </c>
      <c r="AK927">
        <v>8</v>
      </c>
      <c r="AL927" t="s">
        <v>13570</v>
      </c>
      <c r="AM927" t="s">
        <v>5362</v>
      </c>
      <c r="AN927" t="s">
        <v>13571</v>
      </c>
      <c r="AO927" t="s">
        <v>13572</v>
      </c>
      <c r="AP927" t="s">
        <v>74</v>
      </c>
      <c r="AQ927" t="s">
        <v>13623</v>
      </c>
      <c r="AR927" t="s">
        <v>13574</v>
      </c>
      <c r="AS927" t="s">
        <v>74</v>
      </c>
      <c r="AT927" t="s">
        <v>74</v>
      </c>
      <c r="AU927">
        <v>2006</v>
      </c>
      <c r="AV927">
        <v>44</v>
      </c>
      <c r="AW927" t="s">
        <v>74</v>
      </c>
      <c r="AX927" t="s">
        <v>74</v>
      </c>
      <c r="AY927" t="s">
        <v>74</v>
      </c>
      <c r="AZ927" t="s">
        <v>74</v>
      </c>
      <c r="BA927" t="s">
        <v>74</v>
      </c>
      <c r="BB927">
        <v>345</v>
      </c>
      <c r="BC927" t="s">
        <v>7504</v>
      </c>
      <c r="BD927" t="s">
        <v>74</v>
      </c>
      <c r="BE927" t="s">
        <v>13853</v>
      </c>
      <c r="BF927" t="str">
        <f>HYPERLINK("http://dx.doi.org/10.3189/172756406781811457","http://dx.doi.org/10.3189/172756406781811457")</f>
        <v>http://dx.doi.org/10.3189/172756406781811457</v>
      </c>
      <c r="BG927" t="s">
        <v>74</v>
      </c>
      <c r="BH927" t="s">
        <v>74</v>
      </c>
      <c r="BI927">
        <v>2</v>
      </c>
      <c r="BJ927" t="s">
        <v>13625</v>
      </c>
      <c r="BK927" t="s">
        <v>12886</v>
      </c>
      <c r="BL927" t="s">
        <v>13626</v>
      </c>
      <c r="BM927" t="s">
        <v>13627</v>
      </c>
      <c r="BN927" t="s">
        <v>74</v>
      </c>
      <c r="BO927" t="s">
        <v>13854</v>
      </c>
      <c r="BP927" t="s">
        <v>74</v>
      </c>
      <c r="BQ927" t="s">
        <v>74</v>
      </c>
      <c r="BR927" t="s">
        <v>100</v>
      </c>
      <c r="BS927" t="s">
        <v>13855</v>
      </c>
      <c r="BT927" t="str">
        <f>HYPERLINK("https%3A%2F%2Fwww.webofscience.com%2Fwos%2Fwoscc%2Ffull-record%2FWOS:000246685800053","View Full Record in Web of Science")</f>
        <v>View Full Record in Web of Science</v>
      </c>
    </row>
    <row r="928" spans="1:72" x14ac:dyDescent="0.15">
      <c r="A928" t="s">
        <v>12866</v>
      </c>
      <c r="B928" t="s">
        <v>13856</v>
      </c>
      <c r="C928" t="s">
        <v>74</v>
      </c>
      <c r="D928" t="s">
        <v>13609</v>
      </c>
      <c r="E928" t="s">
        <v>74</v>
      </c>
      <c r="F928" t="s">
        <v>13857</v>
      </c>
      <c r="G928" t="s">
        <v>74</v>
      </c>
      <c r="H928" t="s">
        <v>74</v>
      </c>
      <c r="I928" t="s">
        <v>13858</v>
      </c>
      <c r="J928" t="s">
        <v>13612</v>
      </c>
      <c r="K928" t="s">
        <v>13556</v>
      </c>
      <c r="L928" t="s">
        <v>74</v>
      </c>
      <c r="M928" t="s">
        <v>78</v>
      </c>
      <c r="N928" t="s">
        <v>12873</v>
      </c>
      <c r="O928" t="s">
        <v>13613</v>
      </c>
      <c r="P928" t="s">
        <v>13614</v>
      </c>
      <c r="Q928" t="s">
        <v>13615</v>
      </c>
      <c r="R928" t="s">
        <v>74</v>
      </c>
      <c r="S928" t="s">
        <v>74</v>
      </c>
      <c r="T928" t="s">
        <v>74</v>
      </c>
      <c r="U928" t="s">
        <v>13859</v>
      </c>
      <c r="V928" t="s">
        <v>13860</v>
      </c>
      <c r="W928" t="s">
        <v>13861</v>
      </c>
      <c r="X928" t="s">
        <v>5945</v>
      </c>
      <c r="Y928" t="s">
        <v>13862</v>
      </c>
      <c r="Z928" t="s">
        <v>13863</v>
      </c>
      <c r="AA928" t="s">
        <v>13864</v>
      </c>
      <c r="AB928" t="s">
        <v>13865</v>
      </c>
      <c r="AC928" t="s">
        <v>13866</v>
      </c>
      <c r="AD928" t="s">
        <v>13867</v>
      </c>
      <c r="AE928" t="s">
        <v>13868</v>
      </c>
      <c r="AF928" t="s">
        <v>74</v>
      </c>
      <c r="AG928">
        <v>16</v>
      </c>
      <c r="AH928">
        <v>28</v>
      </c>
      <c r="AI928">
        <v>32</v>
      </c>
      <c r="AJ928">
        <v>0</v>
      </c>
      <c r="AK928">
        <v>2</v>
      </c>
      <c r="AL928" t="s">
        <v>13570</v>
      </c>
      <c r="AM928" t="s">
        <v>5362</v>
      </c>
      <c r="AN928" t="s">
        <v>13571</v>
      </c>
      <c r="AO928" t="s">
        <v>13572</v>
      </c>
      <c r="AP928" t="s">
        <v>74</v>
      </c>
      <c r="AQ928" t="s">
        <v>13623</v>
      </c>
      <c r="AR928" t="s">
        <v>13574</v>
      </c>
      <c r="AS928" t="s">
        <v>74</v>
      </c>
      <c r="AT928" t="s">
        <v>74</v>
      </c>
      <c r="AU928">
        <v>2006</v>
      </c>
      <c r="AV928">
        <v>44</v>
      </c>
      <c r="AW928" t="s">
        <v>74</v>
      </c>
      <c r="AX928" t="s">
        <v>74</v>
      </c>
      <c r="AY928" t="s">
        <v>74</v>
      </c>
      <c r="AZ928" t="s">
        <v>74</v>
      </c>
      <c r="BA928" t="s">
        <v>74</v>
      </c>
      <c r="BB928">
        <v>352</v>
      </c>
      <c r="BC928" t="s">
        <v>7504</v>
      </c>
      <c r="BD928" t="s">
        <v>74</v>
      </c>
      <c r="BE928" t="s">
        <v>13869</v>
      </c>
      <c r="BF928" t="str">
        <f>HYPERLINK("http://dx.doi.org/10.3189/172756406781811286","http://dx.doi.org/10.3189/172756406781811286")</f>
        <v>http://dx.doi.org/10.3189/172756406781811286</v>
      </c>
      <c r="BG928" t="s">
        <v>74</v>
      </c>
      <c r="BH928" t="s">
        <v>74</v>
      </c>
      <c r="BI928">
        <v>3</v>
      </c>
      <c r="BJ928" t="s">
        <v>13625</v>
      </c>
      <c r="BK928" t="s">
        <v>12886</v>
      </c>
      <c r="BL928" t="s">
        <v>13626</v>
      </c>
      <c r="BM928" t="s">
        <v>13627</v>
      </c>
      <c r="BN928" t="s">
        <v>74</v>
      </c>
      <c r="BO928" t="s">
        <v>460</v>
      </c>
      <c r="BP928" t="s">
        <v>74</v>
      </c>
      <c r="BQ928" t="s">
        <v>74</v>
      </c>
      <c r="BR928" t="s">
        <v>100</v>
      </c>
      <c r="BS928" t="s">
        <v>13870</v>
      </c>
      <c r="BT928" t="str">
        <f>HYPERLINK("https%3A%2F%2Fwww.webofscience.com%2Fwos%2Fwoscc%2Ffull-record%2FWOS:000246685800054","View Full Record in Web of Science")</f>
        <v>View Full Record in Web of Science</v>
      </c>
    </row>
    <row r="929" spans="1:72" x14ac:dyDescent="0.15">
      <c r="A929" t="s">
        <v>12866</v>
      </c>
      <c r="B929" t="s">
        <v>13871</v>
      </c>
      <c r="C929" t="s">
        <v>74</v>
      </c>
      <c r="D929" t="s">
        <v>13609</v>
      </c>
      <c r="E929" t="s">
        <v>74</v>
      </c>
      <c r="F929" t="s">
        <v>13872</v>
      </c>
      <c r="G929" t="s">
        <v>74</v>
      </c>
      <c r="H929" t="s">
        <v>74</v>
      </c>
      <c r="I929" t="s">
        <v>13873</v>
      </c>
      <c r="J929" t="s">
        <v>13612</v>
      </c>
      <c r="K929" t="s">
        <v>13556</v>
      </c>
      <c r="L929" t="s">
        <v>74</v>
      </c>
      <c r="M929" t="s">
        <v>78</v>
      </c>
      <c r="N929" t="s">
        <v>12873</v>
      </c>
      <c r="O929" t="s">
        <v>13613</v>
      </c>
      <c r="P929" t="s">
        <v>13614</v>
      </c>
      <c r="Q929" t="s">
        <v>13615</v>
      </c>
      <c r="R929" t="s">
        <v>74</v>
      </c>
      <c r="S929" t="s">
        <v>74</v>
      </c>
      <c r="T929" t="s">
        <v>74</v>
      </c>
      <c r="U929" t="s">
        <v>13874</v>
      </c>
      <c r="V929" t="s">
        <v>13875</v>
      </c>
      <c r="W929" t="s">
        <v>8802</v>
      </c>
      <c r="X929" t="s">
        <v>4893</v>
      </c>
      <c r="Y929" t="s">
        <v>13876</v>
      </c>
      <c r="Z929" t="s">
        <v>6243</v>
      </c>
      <c r="AA929" t="s">
        <v>74</v>
      </c>
      <c r="AB929" t="s">
        <v>6244</v>
      </c>
      <c r="AC929" t="s">
        <v>74</v>
      </c>
      <c r="AD929" t="s">
        <v>74</v>
      </c>
      <c r="AE929" t="s">
        <v>74</v>
      </c>
      <c r="AF929" t="s">
        <v>74</v>
      </c>
      <c r="AG929">
        <v>22</v>
      </c>
      <c r="AH929">
        <v>14</v>
      </c>
      <c r="AI929">
        <v>15</v>
      </c>
      <c r="AJ929">
        <v>0</v>
      </c>
      <c r="AK929">
        <v>5</v>
      </c>
      <c r="AL929" t="s">
        <v>13570</v>
      </c>
      <c r="AM929" t="s">
        <v>5362</v>
      </c>
      <c r="AN929" t="s">
        <v>13571</v>
      </c>
      <c r="AO929" t="s">
        <v>13572</v>
      </c>
      <c r="AP929" t="s">
        <v>74</v>
      </c>
      <c r="AQ929" t="s">
        <v>13623</v>
      </c>
      <c r="AR929" t="s">
        <v>13574</v>
      </c>
      <c r="AS929" t="s">
        <v>74</v>
      </c>
      <c r="AT929" t="s">
        <v>74</v>
      </c>
      <c r="AU929">
        <v>2006</v>
      </c>
      <c r="AV929">
        <v>44</v>
      </c>
      <c r="AW929" t="s">
        <v>74</v>
      </c>
      <c r="AX929" t="s">
        <v>74</v>
      </c>
      <c r="AY929" t="s">
        <v>74</v>
      </c>
      <c r="AZ929" t="s">
        <v>74</v>
      </c>
      <c r="BA929" t="s">
        <v>74</v>
      </c>
      <c r="BB929">
        <v>361</v>
      </c>
      <c r="BC929">
        <v>366</v>
      </c>
      <c r="BD929" t="s">
        <v>74</v>
      </c>
      <c r="BE929" t="s">
        <v>13877</v>
      </c>
      <c r="BF929" t="str">
        <f>HYPERLINK("http://dx.doi.org/10.3189/172756406781811682","http://dx.doi.org/10.3189/172756406781811682")</f>
        <v>http://dx.doi.org/10.3189/172756406781811682</v>
      </c>
      <c r="BG929" t="s">
        <v>74</v>
      </c>
      <c r="BH929" t="s">
        <v>74</v>
      </c>
      <c r="BI929">
        <v>6</v>
      </c>
      <c r="BJ929" t="s">
        <v>13625</v>
      </c>
      <c r="BK929" t="s">
        <v>12886</v>
      </c>
      <c r="BL929" t="s">
        <v>13626</v>
      </c>
      <c r="BM929" t="s">
        <v>13627</v>
      </c>
      <c r="BN929" t="s">
        <v>74</v>
      </c>
      <c r="BO929" t="s">
        <v>460</v>
      </c>
      <c r="BP929" t="s">
        <v>74</v>
      </c>
      <c r="BQ929" t="s">
        <v>74</v>
      </c>
      <c r="BR929" t="s">
        <v>100</v>
      </c>
      <c r="BS929" t="s">
        <v>13878</v>
      </c>
      <c r="BT929" t="str">
        <f>HYPERLINK("https%3A%2F%2Fwww.webofscience.com%2Fwos%2Fwoscc%2Ffull-record%2FWOS:000246685800056","View Full Record in Web of Science")</f>
        <v>View Full Record in Web of Science</v>
      </c>
    </row>
    <row r="930" spans="1:72" x14ac:dyDescent="0.15">
      <c r="A930" t="s">
        <v>12866</v>
      </c>
      <c r="B930" t="s">
        <v>13879</v>
      </c>
      <c r="C930" t="s">
        <v>74</v>
      </c>
      <c r="D930" t="s">
        <v>13609</v>
      </c>
      <c r="E930" t="s">
        <v>74</v>
      </c>
      <c r="F930" t="s">
        <v>13880</v>
      </c>
      <c r="G930" t="s">
        <v>74</v>
      </c>
      <c r="H930" t="s">
        <v>74</v>
      </c>
      <c r="I930" t="s">
        <v>13881</v>
      </c>
      <c r="J930" t="s">
        <v>13612</v>
      </c>
      <c r="K930" t="s">
        <v>13556</v>
      </c>
      <c r="L930" t="s">
        <v>74</v>
      </c>
      <c r="M930" t="s">
        <v>78</v>
      </c>
      <c r="N930" t="s">
        <v>12873</v>
      </c>
      <c r="O930" t="s">
        <v>13613</v>
      </c>
      <c r="P930" t="s">
        <v>13614</v>
      </c>
      <c r="Q930" t="s">
        <v>13615</v>
      </c>
      <c r="R930" t="s">
        <v>74</v>
      </c>
      <c r="S930" t="s">
        <v>74</v>
      </c>
      <c r="T930" t="s">
        <v>74</v>
      </c>
      <c r="U930" t="s">
        <v>13882</v>
      </c>
      <c r="V930" t="s">
        <v>13883</v>
      </c>
      <c r="W930" t="s">
        <v>13884</v>
      </c>
      <c r="X930" t="s">
        <v>13885</v>
      </c>
      <c r="Y930" t="s">
        <v>13886</v>
      </c>
      <c r="Z930" t="s">
        <v>13887</v>
      </c>
      <c r="AA930" t="s">
        <v>13888</v>
      </c>
      <c r="AB930" t="s">
        <v>13889</v>
      </c>
      <c r="AC930" t="s">
        <v>13890</v>
      </c>
      <c r="AD930" t="s">
        <v>13891</v>
      </c>
      <c r="AE930" t="s">
        <v>13892</v>
      </c>
      <c r="AF930" t="s">
        <v>74</v>
      </c>
      <c r="AG930">
        <v>27</v>
      </c>
      <c r="AH930">
        <v>17</v>
      </c>
      <c r="AI930">
        <v>21</v>
      </c>
      <c r="AJ930">
        <v>1</v>
      </c>
      <c r="AK930">
        <v>4</v>
      </c>
      <c r="AL930" t="s">
        <v>13570</v>
      </c>
      <c r="AM930" t="s">
        <v>5362</v>
      </c>
      <c r="AN930" t="s">
        <v>13571</v>
      </c>
      <c r="AO930" t="s">
        <v>13572</v>
      </c>
      <c r="AP930" t="s">
        <v>74</v>
      </c>
      <c r="AQ930" t="s">
        <v>13623</v>
      </c>
      <c r="AR930" t="s">
        <v>13574</v>
      </c>
      <c r="AS930" t="s">
        <v>74</v>
      </c>
      <c r="AT930" t="s">
        <v>74</v>
      </c>
      <c r="AU930">
        <v>2006</v>
      </c>
      <c r="AV930">
        <v>44</v>
      </c>
      <c r="AW930" t="s">
        <v>74</v>
      </c>
      <c r="AX930" t="s">
        <v>74</v>
      </c>
      <c r="AY930" t="s">
        <v>74</v>
      </c>
      <c r="AZ930" t="s">
        <v>74</v>
      </c>
      <c r="BA930" t="s">
        <v>74</v>
      </c>
      <c r="BB930">
        <v>418</v>
      </c>
      <c r="BC930" t="s">
        <v>7504</v>
      </c>
      <c r="BD930" t="s">
        <v>74</v>
      </c>
      <c r="BE930" t="s">
        <v>13893</v>
      </c>
      <c r="BF930" t="str">
        <f>HYPERLINK("http://dx.doi.org/10.3189/172756406781811178","http://dx.doi.org/10.3189/172756406781811178")</f>
        <v>http://dx.doi.org/10.3189/172756406781811178</v>
      </c>
      <c r="BG930" t="s">
        <v>74</v>
      </c>
      <c r="BH930" t="s">
        <v>74</v>
      </c>
      <c r="BI930">
        <v>3</v>
      </c>
      <c r="BJ930" t="s">
        <v>13625</v>
      </c>
      <c r="BK930" t="s">
        <v>12886</v>
      </c>
      <c r="BL930" t="s">
        <v>13626</v>
      </c>
      <c r="BM930" t="s">
        <v>13627</v>
      </c>
      <c r="BN930" t="s">
        <v>74</v>
      </c>
      <c r="BO930" t="s">
        <v>460</v>
      </c>
      <c r="BP930" t="s">
        <v>74</v>
      </c>
      <c r="BQ930" t="s">
        <v>74</v>
      </c>
      <c r="BR930" t="s">
        <v>100</v>
      </c>
      <c r="BS930" t="s">
        <v>13894</v>
      </c>
      <c r="BT930" t="str">
        <f>HYPERLINK("https%3A%2F%2Fwww.webofscience.com%2Fwos%2Fwoscc%2Ffull-record%2FWOS:000246685800063","View Full Record in Web of Science")</f>
        <v>View Full Record in Web of Science</v>
      </c>
    </row>
    <row r="931" spans="1:72" x14ac:dyDescent="0.15">
      <c r="A931" t="s">
        <v>12866</v>
      </c>
      <c r="B931" t="s">
        <v>13895</v>
      </c>
      <c r="C931" t="s">
        <v>74</v>
      </c>
      <c r="D931" t="s">
        <v>13609</v>
      </c>
      <c r="E931" t="s">
        <v>74</v>
      </c>
      <c r="F931" t="s">
        <v>13896</v>
      </c>
      <c r="G931" t="s">
        <v>74</v>
      </c>
      <c r="H931" t="s">
        <v>74</v>
      </c>
      <c r="I931" t="s">
        <v>13897</v>
      </c>
      <c r="J931" t="s">
        <v>13612</v>
      </c>
      <c r="K931" t="s">
        <v>13556</v>
      </c>
      <c r="L931" t="s">
        <v>74</v>
      </c>
      <c r="M931" t="s">
        <v>78</v>
      </c>
      <c r="N931" t="s">
        <v>12873</v>
      </c>
      <c r="O931" t="s">
        <v>13613</v>
      </c>
      <c r="P931" t="s">
        <v>13614</v>
      </c>
      <c r="Q931" t="s">
        <v>13615</v>
      </c>
      <c r="R931" t="s">
        <v>74</v>
      </c>
      <c r="S931" t="s">
        <v>74</v>
      </c>
      <c r="T931" t="s">
        <v>74</v>
      </c>
      <c r="U931" t="s">
        <v>13898</v>
      </c>
      <c r="V931" t="s">
        <v>13899</v>
      </c>
      <c r="W931" t="s">
        <v>13900</v>
      </c>
      <c r="X931" t="s">
        <v>13901</v>
      </c>
      <c r="Y931" t="s">
        <v>13902</v>
      </c>
      <c r="Z931" t="s">
        <v>13903</v>
      </c>
      <c r="AA931" t="s">
        <v>13904</v>
      </c>
      <c r="AB931" t="s">
        <v>13905</v>
      </c>
      <c r="AC931" t="s">
        <v>13906</v>
      </c>
      <c r="AD931" t="s">
        <v>13907</v>
      </c>
      <c r="AE931" t="s">
        <v>13908</v>
      </c>
      <c r="AF931" t="s">
        <v>74</v>
      </c>
      <c r="AG931">
        <v>31</v>
      </c>
      <c r="AH931">
        <v>20</v>
      </c>
      <c r="AI931">
        <v>24</v>
      </c>
      <c r="AJ931">
        <v>0</v>
      </c>
      <c r="AK931">
        <v>3</v>
      </c>
      <c r="AL931" t="s">
        <v>13570</v>
      </c>
      <c r="AM931" t="s">
        <v>5362</v>
      </c>
      <c r="AN931" t="s">
        <v>13571</v>
      </c>
      <c r="AO931" t="s">
        <v>13572</v>
      </c>
      <c r="AP931" t="s">
        <v>74</v>
      </c>
      <c r="AQ931" t="s">
        <v>13623</v>
      </c>
      <c r="AR931" t="s">
        <v>13574</v>
      </c>
      <c r="AS931" t="s">
        <v>74</v>
      </c>
      <c r="AT931" t="s">
        <v>74</v>
      </c>
      <c r="AU931">
        <v>2006</v>
      </c>
      <c r="AV931">
        <v>44</v>
      </c>
      <c r="AW931" t="s">
        <v>74</v>
      </c>
      <c r="AX931" t="s">
        <v>74</v>
      </c>
      <c r="AY931" t="s">
        <v>74</v>
      </c>
      <c r="AZ931" t="s">
        <v>74</v>
      </c>
      <c r="BA931" t="s">
        <v>74</v>
      </c>
      <c r="BB931">
        <v>429</v>
      </c>
      <c r="BC931" t="s">
        <v>7504</v>
      </c>
      <c r="BD931" t="s">
        <v>74</v>
      </c>
      <c r="BE931" t="s">
        <v>13909</v>
      </c>
      <c r="BF931" t="str">
        <f>HYPERLINK("http://dx.doi.org/10.3189/172756406781811394","http://dx.doi.org/10.3189/172756406781811394")</f>
        <v>http://dx.doi.org/10.3189/172756406781811394</v>
      </c>
      <c r="BG931" t="s">
        <v>74</v>
      </c>
      <c r="BH931" t="s">
        <v>74</v>
      </c>
      <c r="BI931">
        <v>2</v>
      </c>
      <c r="BJ931" t="s">
        <v>13625</v>
      </c>
      <c r="BK931" t="s">
        <v>12886</v>
      </c>
      <c r="BL931" t="s">
        <v>13626</v>
      </c>
      <c r="BM931" t="s">
        <v>13627</v>
      </c>
      <c r="BN931" t="s">
        <v>74</v>
      </c>
      <c r="BO931" t="s">
        <v>460</v>
      </c>
      <c r="BP931" t="s">
        <v>74</v>
      </c>
      <c r="BQ931" t="s">
        <v>74</v>
      </c>
      <c r="BR931" t="s">
        <v>100</v>
      </c>
      <c r="BS931" t="s">
        <v>13910</v>
      </c>
      <c r="BT931" t="str">
        <f>HYPERLINK("https%3A%2F%2Fwww.webofscience.com%2Fwos%2Fwoscc%2Ffull-record%2FWOS:000246685800064","View Full Record in Web of Science")</f>
        <v>View Full Record in Web of Science</v>
      </c>
    </row>
    <row r="932" spans="1:72" x14ac:dyDescent="0.15">
      <c r="A932" t="s">
        <v>72</v>
      </c>
      <c r="B932" t="s">
        <v>13911</v>
      </c>
      <c r="C932" t="s">
        <v>74</v>
      </c>
      <c r="D932" t="s">
        <v>74</v>
      </c>
      <c r="E932" t="s">
        <v>74</v>
      </c>
      <c r="F932" t="s">
        <v>13912</v>
      </c>
      <c r="G932" t="s">
        <v>74</v>
      </c>
      <c r="H932" t="s">
        <v>74</v>
      </c>
      <c r="I932" t="s">
        <v>13913</v>
      </c>
      <c r="J932" t="s">
        <v>13914</v>
      </c>
      <c r="K932" t="s">
        <v>74</v>
      </c>
      <c r="L932" t="s">
        <v>74</v>
      </c>
      <c r="M932" t="s">
        <v>78</v>
      </c>
      <c r="N932" t="s">
        <v>1226</v>
      </c>
      <c r="O932" t="s">
        <v>13915</v>
      </c>
      <c r="P932" t="s">
        <v>13916</v>
      </c>
      <c r="Q932" t="s">
        <v>13917</v>
      </c>
      <c r="R932" t="s">
        <v>74</v>
      </c>
      <c r="S932" t="s">
        <v>74</v>
      </c>
      <c r="T932" t="s">
        <v>13918</v>
      </c>
      <c r="U932" t="s">
        <v>13919</v>
      </c>
      <c r="V932" t="s">
        <v>13920</v>
      </c>
      <c r="W932" t="s">
        <v>13921</v>
      </c>
      <c r="X932" t="s">
        <v>13922</v>
      </c>
      <c r="Y932" t="s">
        <v>13923</v>
      </c>
      <c r="Z932" t="s">
        <v>13924</v>
      </c>
      <c r="AA932" t="s">
        <v>13925</v>
      </c>
      <c r="AB932" t="s">
        <v>13926</v>
      </c>
      <c r="AC932" t="s">
        <v>74</v>
      </c>
      <c r="AD932" t="s">
        <v>74</v>
      </c>
      <c r="AE932" t="s">
        <v>74</v>
      </c>
      <c r="AF932" t="s">
        <v>74</v>
      </c>
      <c r="AG932">
        <v>149</v>
      </c>
      <c r="AH932">
        <v>101</v>
      </c>
      <c r="AI932">
        <v>112</v>
      </c>
      <c r="AJ932">
        <v>2</v>
      </c>
      <c r="AK932">
        <v>21</v>
      </c>
      <c r="AL932" t="s">
        <v>13927</v>
      </c>
      <c r="AM932" t="s">
        <v>13928</v>
      </c>
      <c r="AN932" t="s">
        <v>13929</v>
      </c>
      <c r="AO932" t="s">
        <v>13930</v>
      </c>
      <c r="AP932" t="s">
        <v>13931</v>
      </c>
      <c r="AQ932" t="s">
        <v>74</v>
      </c>
      <c r="AR932" t="s">
        <v>13932</v>
      </c>
      <c r="AS932" t="s">
        <v>13933</v>
      </c>
      <c r="AT932" t="s">
        <v>74</v>
      </c>
      <c r="AU932">
        <v>2006</v>
      </c>
      <c r="AV932">
        <v>93</v>
      </c>
      <c r="AW932">
        <v>2</v>
      </c>
      <c r="AX932" t="s">
        <v>74</v>
      </c>
      <c r="AY932" t="s">
        <v>74</v>
      </c>
      <c r="AZ932" t="s">
        <v>74</v>
      </c>
      <c r="BA932" t="s">
        <v>74</v>
      </c>
      <c r="BB932">
        <v>178</v>
      </c>
      <c r="BC932">
        <v>208</v>
      </c>
      <c r="BD932" t="s">
        <v>74</v>
      </c>
      <c r="BE932" t="s">
        <v>13934</v>
      </c>
      <c r="BF932" t="str">
        <f>HYPERLINK("http://dx.doi.org/10.3417/0026-6493(2006)93[178:LCTVFM]2.0.CO;2","http://dx.doi.org/10.3417/0026-6493(2006)93[178:LCTVFM]2.0.CO;2")</f>
        <v>http://dx.doi.org/10.3417/0026-6493(2006)93[178:LCTVFM]2.0.CO;2</v>
      </c>
      <c r="BG932" t="s">
        <v>74</v>
      </c>
      <c r="BH932" t="s">
        <v>74</v>
      </c>
      <c r="BI932">
        <v>31</v>
      </c>
      <c r="BJ932" t="s">
        <v>1114</v>
      </c>
      <c r="BK932" t="s">
        <v>668</v>
      </c>
      <c r="BL932" t="s">
        <v>1114</v>
      </c>
      <c r="BM932" t="s">
        <v>13935</v>
      </c>
      <c r="BN932" t="s">
        <v>74</v>
      </c>
      <c r="BO932" t="s">
        <v>74</v>
      </c>
      <c r="BP932" t="s">
        <v>74</v>
      </c>
      <c r="BQ932" t="s">
        <v>74</v>
      </c>
      <c r="BR932" t="s">
        <v>100</v>
      </c>
      <c r="BS932" t="s">
        <v>13936</v>
      </c>
      <c r="BT932" t="str">
        <f>HYPERLINK("https%3A%2F%2Fwww.webofscience.com%2Fwos%2Fwoscc%2Ffull-record%2FWOS:000240071400002","View Full Record in Web of Science")</f>
        <v>View Full Record in Web of Science</v>
      </c>
    </row>
    <row r="933" spans="1:72" x14ac:dyDescent="0.15">
      <c r="A933" t="s">
        <v>72</v>
      </c>
      <c r="B933" t="s">
        <v>13937</v>
      </c>
      <c r="C933" t="s">
        <v>74</v>
      </c>
      <c r="D933" t="s">
        <v>74</v>
      </c>
      <c r="E933" t="s">
        <v>74</v>
      </c>
      <c r="F933" t="s">
        <v>13938</v>
      </c>
      <c r="G933" t="s">
        <v>74</v>
      </c>
      <c r="H933" t="s">
        <v>74</v>
      </c>
      <c r="I933" t="s">
        <v>13939</v>
      </c>
      <c r="J933" t="s">
        <v>13914</v>
      </c>
      <c r="K933" t="s">
        <v>74</v>
      </c>
      <c r="L933" t="s">
        <v>74</v>
      </c>
      <c r="M933" t="s">
        <v>78</v>
      </c>
      <c r="N933" t="s">
        <v>1226</v>
      </c>
      <c r="O933" t="s">
        <v>13940</v>
      </c>
      <c r="P933" t="s">
        <v>13916</v>
      </c>
      <c r="Q933" t="s">
        <v>13917</v>
      </c>
      <c r="R933" t="s">
        <v>74</v>
      </c>
      <c r="S933" t="s">
        <v>74</v>
      </c>
      <c r="T933" t="s">
        <v>13941</v>
      </c>
      <c r="U933" t="s">
        <v>13942</v>
      </c>
      <c r="V933" t="s">
        <v>13943</v>
      </c>
      <c r="W933" t="s">
        <v>13944</v>
      </c>
      <c r="X933" t="s">
        <v>13945</v>
      </c>
      <c r="Y933" t="s">
        <v>13946</v>
      </c>
      <c r="Z933" t="s">
        <v>13947</v>
      </c>
      <c r="AA933" t="s">
        <v>74</v>
      </c>
      <c r="AB933" t="s">
        <v>74</v>
      </c>
      <c r="AC933" t="s">
        <v>74</v>
      </c>
      <c r="AD933" t="s">
        <v>74</v>
      </c>
      <c r="AE933" t="s">
        <v>74</v>
      </c>
      <c r="AF933" t="s">
        <v>74</v>
      </c>
      <c r="AG933">
        <v>91</v>
      </c>
      <c r="AH933">
        <v>143</v>
      </c>
      <c r="AI933">
        <v>172</v>
      </c>
      <c r="AJ933">
        <v>3</v>
      </c>
      <c r="AK933">
        <v>27</v>
      </c>
      <c r="AL933" t="s">
        <v>13927</v>
      </c>
      <c r="AM933" t="s">
        <v>13928</v>
      </c>
      <c r="AN933" t="s">
        <v>13929</v>
      </c>
      <c r="AO933" t="s">
        <v>13930</v>
      </c>
      <c r="AP933" t="s">
        <v>74</v>
      </c>
      <c r="AQ933" t="s">
        <v>74</v>
      </c>
      <c r="AR933" t="s">
        <v>13932</v>
      </c>
      <c r="AS933" t="s">
        <v>13933</v>
      </c>
      <c r="AT933" t="s">
        <v>74</v>
      </c>
      <c r="AU933">
        <v>2006</v>
      </c>
      <c r="AV933">
        <v>93</v>
      </c>
      <c r="AW933">
        <v>2</v>
      </c>
      <c r="AX933" t="s">
        <v>74</v>
      </c>
      <c r="AY933" t="s">
        <v>74</v>
      </c>
      <c r="AZ933" t="s">
        <v>74</v>
      </c>
      <c r="BA933" t="s">
        <v>74</v>
      </c>
      <c r="BB933">
        <v>297</v>
      </c>
      <c r="BC933">
        <v>324</v>
      </c>
      <c r="BD933" t="s">
        <v>74</v>
      </c>
      <c r="BE933" t="s">
        <v>13948</v>
      </c>
      <c r="BF933" t="str">
        <f>HYPERLINK("http://dx.doi.org/10.3417/0026-6493(2006)93[297:TPROCI]2.0.CO;2","http://dx.doi.org/10.3417/0026-6493(2006)93[297:TPROCI]2.0.CO;2")</f>
        <v>http://dx.doi.org/10.3417/0026-6493(2006)93[297:TPROCI]2.0.CO;2</v>
      </c>
      <c r="BG933" t="s">
        <v>74</v>
      </c>
      <c r="BH933" t="s">
        <v>74</v>
      </c>
      <c r="BI933">
        <v>28</v>
      </c>
      <c r="BJ933" t="s">
        <v>1114</v>
      </c>
      <c r="BK933" t="s">
        <v>655</v>
      </c>
      <c r="BL933" t="s">
        <v>1114</v>
      </c>
      <c r="BM933" t="s">
        <v>13935</v>
      </c>
      <c r="BN933" t="s">
        <v>74</v>
      </c>
      <c r="BO933" t="s">
        <v>74</v>
      </c>
      <c r="BP933" t="s">
        <v>74</v>
      </c>
      <c r="BQ933" t="s">
        <v>74</v>
      </c>
      <c r="BR933" t="s">
        <v>100</v>
      </c>
      <c r="BS933" t="s">
        <v>13949</v>
      </c>
      <c r="BT933" t="str">
        <f>HYPERLINK("https%3A%2F%2Fwww.webofscience.com%2Fwos%2Fwoscc%2Ffull-record%2FWOS:000240071400008","View Full Record in Web of Science")</f>
        <v>View Full Record in Web of Science</v>
      </c>
    </row>
    <row r="934" spans="1:72" x14ac:dyDescent="0.15">
      <c r="A934" t="s">
        <v>72</v>
      </c>
      <c r="B934" t="s">
        <v>13950</v>
      </c>
      <c r="C934" t="s">
        <v>74</v>
      </c>
      <c r="D934" t="s">
        <v>74</v>
      </c>
      <c r="E934" t="s">
        <v>74</v>
      </c>
      <c r="F934" t="s">
        <v>13951</v>
      </c>
      <c r="G934" t="s">
        <v>74</v>
      </c>
      <c r="H934" t="s">
        <v>74</v>
      </c>
      <c r="I934" t="s">
        <v>13952</v>
      </c>
      <c r="J934" t="s">
        <v>13953</v>
      </c>
      <c r="K934" t="s">
        <v>13954</v>
      </c>
      <c r="L934" t="s">
        <v>74</v>
      </c>
      <c r="M934" t="s">
        <v>78</v>
      </c>
      <c r="N934" t="s">
        <v>13119</v>
      </c>
      <c r="O934" t="s">
        <v>74</v>
      </c>
      <c r="P934" t="s">
        <v>74</v>
      </c>
      <c r="Q934" t="s">
        <v>74</v>
      </c>
      <c r="R934" t="s">
        <v>74</v>
      </c>
      <c r="S934" t="s">
        <v>74</v>
      </c>
      <c r="T934" t="s">
        <v>13955</v>
      </c>
      <c r="U934" t="s">
        <v>13956</v>
      </c>
      <c r="V934" t="s">
        <v>13957</v>
      </c>
      <c r="W934" t="s">
        <v>7201</v>
      </c>
      <c r="X934" t="s">
        <v>7202</v>
      </c>
      <c r="Y934" t="s">
        <v>13958</v>
      </c>
      <c r="Z934" t="s">
        <v>13959</v>
      </c>
      <c r="AA934" t="s">
        <v>7205</v>
      </c>
      <c r="AB934" t="s">
        <v>13960</v>
      </c>
      <c r="AC934" t="s">
        <v>74</v>
      </c>
      <c r="AD934" t="s">
        <v>74</v>
      </c>
      <c r="AE934" t="s">
        <v>74</v>
      </c>
      <c r="AF934" t="s">
        <v>74</v>
      </c>
      <c r="AG934">
        <v>171</v>
      </c>
      <c r="AH934">
        <v>605</v>
      </c>
      <c r="AI934">
        <v>678</v>
      </c>
      <c r="AJ934">
        <v>25</v>
      </c>
      <c r="AK934">
        <v>257</v>
      </c>
      <c r="AL934" t="s">
        <v>13961</v>
      </c>
      <c r="AM934" t="s">
        <v>13962</v>
      </c>
      <c r="AN934" t="s">
        <v>13963</v>
      </c>
      <c r="AO934" t="s">
        <v>13964</v>
      </c>
      <c r="AP934" t="s">
        <v>13965</v>
      </c>
      <c r="AQ934" t="s">
        <v>74</v>
      </c>
      <c r="AR934" t="s">
        <v>13966</v>
      </c>
      <c r="AS934" t="s">
        <v>13967</v>
      </c>
      <c r="AT934" t="s">
        <v>74</v>
      </c>
      <c r="AU934">
        <v>2006</v>
      </c>
      <c r="AV934">
        <v>75</v>
      </c>
      <c r="AW934" t="s">
        <v>74</v>
      </c>
      <c r="AX934" t="s">
        <v>74</v>
      </c>
      <c r="AY934" t="s">
        <v>74</v>
      </c>
      <c r="AZ934" t="s">
        <v>74</v>
      </c>
      <c r="BA934" t="s">
        <v>74</v>
      </c>
      <c r="BB934">
        <v>403</v>
      </c>
      <c r="BC934">
        <v>433</v>
      </c>
      <c r="BD934" t="s">
        <v>74</v>
      </c>
      <c r="BE934" t="s">
        <v>13968</v>
      </c>
      <c r="BF934" t="str">
        <f>HYPERLINK("http://dx.doi.org/10.1146/annurev.biochem.75.103004.142723","http://dx.doi.org/10.1146/annurev.biochem.75.103004.142723")</f>
        <v>http://dx.doi.org/10.1146/annurev.biochem.75.103004.142723</v>
      </c>
      <c r="BG934" t="s">
        <v>74</v>
      </c>
      <c r="BH934" t="s">
        <v>74</v>
      </c>
      <c r="BI934">
        <v>31</v>
      </c>
      <c r="BJ934" t="s">
        <v>6030</v>
      </c>
      <c r="BK934" t="s">
        <v>13133</v>
      </c>
      <c r="BL934" t="s">
        <v>6030</v>
      </c>
      <c r="BM934" t="s">
        <v>13969</v>
      </c>
      <c r="BN934">
        <v>16756497</v>
      </c>
      <c r="BO934" t="s">
        <v>74</v>
      </c>
      <c r="BP934" t="s">
        <v>74</v>
      </c>
      <c r="BQ934" t="s">
        <v>74</v>
      </c>
      <c r="BR934" t="s">
        <v>100</v>
      </c>
      <c r="BS934" t="s">
        <v>13970</v>
      </c>
      <c r="BT934" t="str">
        <f>HYPERLINK("https%3A%2F%2Fwww.webofscience.com%2Fwos%2Fwoscc%2Ffull-record%2FWOS:000239807600016","View Full Record in Web of Science")</f>
        <v>View Full Record in Web of Science</v>
      </c>
    </row>
    <row r="935" spans="1:72" x14ac:dyDescent="0.15">
      <c r="A935" t="s">
        <v>72</v>
      </c>
      <c r="B935" t="s">
        <v>13971</v>
      </c>
      <c r="C935" t="s">
        <v>74</v>
      </c>
      <c r="D935" t="s">
        <v>74</v>
      </c>
      <c r="E935" t="s">
        <v>74</v>
      </c>
      <c r="F935" t="s">
        <v>13972</v>
      </c>
      <c r="G935" t="s">
        <v>74</v>
      </c>
      <c r="H935" t="s">
        <v>74</v>
      </c>
      <c r="I935" t="s">
        <v>13973</v>
      </c>
      <c r="J935" t="s">
        <v>13974</v>
      </c>
      <c r="K935" t="s">
        <v>13975</v>
      </c>
      <c r="L935" t="s">
        <v>74</v>
      </c>
      <c r="M935" t="s">
        <v>78</v>
      </c>
      <c r="N935" t="s">
        <v>13119</v>
      </c>
      <c r="O935" t="s">
        <v>74</v>
      </c>
      <c r="P935" t="s">
        <v>74</v>
      </c>
      <c r="Q935" t="s">
        <v>74</v>
      </c>
      <c r="R935" t="s">
        <v>74</v>
      </c>
      <c r="S935" t="s">
        <v>74</v>
      </c>
      <c r="T935" t="s">
        <v>13976</v>
      </c>
      <c r="U935" t="s">
        <v>13977</v>
      </c>
      <c r="V935" t="s">
        <v>13978</v>
      </c>
      <c r="W935" t="s">
        <v>13979</v>
      </c>
      <c r="X935" t="s">
        <v>2182</v>
      </c>
      <c r="Y935" t="s">
        <v>13980</v>
      </c>
      <c r="Z935" t="s">
        <v>2360</v>
      </c>
      <c r="AA935" t="s">
        <v>13981</v>
      </c>
      <c r="AB935" t="s">
        <v>13982</v>
      </c>
      <c r="AC935" t="s">
        <v>74</v>
      </c>
      <c r="AD935" t="s">
        <v>74</v>
      </c>
      <c r="AE935" t="s">
        <v>74</v>
      </c>
      <c r="AF935" t="s">
        <v>74</v>
      </c>
      <c r="AG935">
        <v>107</v>
      </c>
      <c r="AH935">
        <v>14</v>
      </c>
      <c r="AI935">
        <v>16</v>
      </c>
      <c r="AJ935">
        <v>4</v>
      </c>
      <c r="AK935">
        <v>35</v>
      </c>
      <c r="AL935" t="s">
        <v>13961</v>
      </c>
      <c r="AM935" t="s">
        <v>13962</v>
      </c>
      <c r="AN935" t="s">
        <v>13963</v>
      </c>
      <c r="AO935" t="s">
        <v>13983</v>
      </c>
      <c r="AP935" t="s">
        <v>74</v>
      </c>
      <c r="AQ935" t="s">
        <v>74</v>
      </c>
      <c r="AR935" t="s">
        <v>13984</v>
      </c>
      <c r="AS935" t="s">
        <v>13985</v>
      </c>
      <c r="AT935" t="s">
        <v>74</v>
      </c>
      <c r="AU935">
        <v>2006</v>
      </c>
      <c r="AV935">
        <v>31</v>
      </c>
      <c r="AW935" t="s">
        <v>74</v>
      </c>
      <c r="AX935" t="s">
        <v>74</v>
      </c>
      <c r="AY935" t="s">
        <v>74</v>
      </c>
      <c r="AZ935" t="s">
        <v>74</v>
      </c>
      <c r="BA935" t="s">
        <v>74</v>
      </c>
      <c r="BB935">
        <v>33</v>
      </c>
      <c r="BC935">
        <v>60</v>
      </c>
      <c r="BD935" t="s">
        <v>74</v>
      </c>
      <c r="BE935" t="s">
        <v>13986</v>
      </c>
      <c r="BF935" t="str">
        <f>HYPERLINK("http://dx.doi.org/10.1146/annurev.energy.31.041105.095552","http://dx.doi.org/10.1146/annurev.energy.31.041105.095552")</f>
        <v>http://dx.doi.org/10.1146/annurev.energy.31.041105.095552</v>
      </c>
      <c r="BG935" t="s">
        <v>74</v>
      </c>
      <c r="BH935" t="s">
        <v>74</v>
      </c>
      <c r="BI935">
        <v>32</v>
      </c>
      <c r="BJ935" t="s">
        <v>13987</v>
      </c>
      <c r="BK935" t="s">
        <v>13988</v>
      </c>
      <c r="BL935" t="s">
        <v>420</v>
      </c>
      <c r="BM935" t="s">
        <v>13989</v>
      </c>
      <c r="BN935" t="s">
        <v>74</v>
      </c>
      <c r="BO935" t="s">
        <v>164</v>
      </c>
      <c r="BP935" t="s">
        <v>74</v>
      </c>
      <c r="BQ935" t="s">
        <v>74</v>
      </c>
      <c r="BR935" t="s">
        <v>100</v>
      </c>
      <c r="BS935" t="s">
        <v>13990</v>
      </c>
      <c r="BT935" t="str">
        <f>HYPERLINK("https%3A%2F%2Fwww.webofscience.com%2Fwos%2Fwoscc%2Ffull-record%2FWOS:000242324900003","View Full Record in Web of Science")</f>
        <v>View Full Record in Web of Science</v>
      </c>
    </row>
    <row r="936" spans="1:72" x14ac:dyDescent="0.15">
      <c r="A936" t="s">
        <v>12866</v>
      </c>
      <c r="B936" t="s">
        <v>13991</v>
      </c>
      <c r="C936" t="s">
        <v>74</v>
      </c>
      <c r="D936" t="s">
        <v>13992</v>
      </c>
      <c r="E936" t="s">
        <v>74</v>
      </c>
      <c r="F936" t="s">
        <v>13991</v>
      </c>
      <c r="G936" t="s">
        <v>74</v>
      </c>
      <c r="H936" t="s">
        <v>74</v>
      </c>
      <c r="I936" t="s">
        <v>13993</v>
      </c>
      <c r="J936" t="s">
        <v>13994</v>
      </c>
      <c r="K936" t="s">
        <v>74</v>
      </c>
      <c r="L936" t="s">
        <v>74</v>
      </c>
      <c r="M936" t="s">
        <v>78</v>
      </c>
      <c r="N936" t="s">
        <v>12873</v>
      </c>
      <c r="O936" t="s">
        <v>13995</v>
      </c>
      <c r="P936" t="s">
        <v>13996</v>
      </c>
      <c r="Q936" t="s">
        <v>13997</v>
      </c>
      <c r="R936" t="s">
        <v>74</v>
      </c>
      <c r="S936" t="s">
        <v>13998</v>
      </c>
      <c r="T936" t="s">
        <v>74</v>
      </c>
      <c r="U936" t="s">
        <v>74</v>
      </c>
      <c r="V936" t="s">
        <v>74</v>
      </c>
      <c r="W936" t="s">
        <v>13999</v>
      </c>
      <c r="X936" t="s">
        <v>74</v>
      </c>
      <c r="Y936" t="s">
        <v>14000</v>
      </c>
      <c r="Z936" t="s">
        <v>74</v>
      </c>
      <c r="AA936" t="s">
        <v>74</v>
      </c>
      <c r="AB936" t="s">
        <v>74</v>
      </c>
      <c r="AC936" t="s">
        <v>74</v>
      </c>
      <c r="AD936" t="s">
        <v>74</v>
      </c>
      <c r="AE936" t="s">
        <v>74</v>
      </c>
      <c r="AF936" t="s">
        <v>74</v>
      </c>
      <c r="AG936">
        <v>9</v>
      </c>
      <c r="AH936">
        <v>2</v>
      </c>
      <c r="AI936">
        <v>2</v>
      </c>
      <c r="AJ936">
        <v>0</v>
      </c>
      <c r="AK936">
        <v>1</v>
      </c>
      <c r="AL936" t="s">
        <v>14001</v>
      </c>
      <c r="AM936" t="s">
        <v>14002</v>
      </c>
      <c r="AN936" t="s">
        <v>14003</v>
      </c>
      <c r="AO936" t="s">
        <v>74</v>
      </c>
      <c r="AP936" t="s">
        <v>74</v>
      </c>
      <c r="AQ936" t="s">
        <v>14004</v>
      </c>
      <c r="AR936" t="s">
        <v>74</v>
      </c>
      <c r="AS936" t="s">
        <v>74</v>
      </c>
      <c r="AT936" t="s">
        <v>74</v>
      </c>
      <c r="AU936">
        <v>2006</v>
      </c>
      <c r="AV936" t="s">
        <v>74</v>
      </c>
      <c r="AW936" t="s">
        <v>74</v>
      </c>
      <c r="AX936" t="s">
        <v>74</v>
      </c>
      <c r="AY936" t="s">
        <v>74</v>
      </c>
      <c r="AZ936" t="s">
        <v>74</v>
      </c>
      <c r="BA936" t="s">
        <v>74</v>
      </c>
      <c r="BB936">
        <v>3</v>
      </c>
      <c r="BC936">
        <v>6</v>
      </c>
      <c r="BD936" t="s">
        <v>74</v>
      </c>
      <c r="BE936" t="s">
        <v>14005</v>
      </c>
      <c r="BF936" t="str">
        <f>HYPERLINK("http://dx.doi.org/10.1007/3-540-32934-X_1","http://dx.doi.org/10.1007/3-540-32934-X_1")</f>
        <v>http://dx.doi.org/10.1007/3-540-32934-X_1</v>
      </c>
      <c r="BG936" t="s">
        <v>74</v>
      </c>
      <c r="BH936" t="s">
        <v>74</v>
      </c>
      <c r="BI936">
        <v>4</v>
      </c>
      <c r="BJ936" t="s">
        <v>527</v>
      </c>
      <c r="BK936" t="s">
        <v>12886</v>
      </c>
      <c r="BL936" t="s">
        <v>528</v>
      </c>
      <c r="BM936" t="s">
        <v>14006</v>
      </c>
      <c r="BN936" t="s">
        <v>74</v>
      </c>
      <c r="BO936" t="s">
        <v>74</v>
      </c>
      <c r="BP936" t="s">
        <v>74</v>
      </c>
      <c r="BQ936" t="s">
        <v>74</v>
      </c>
      <c r="BR936" t="s">
        <v>100</v>
      </c>
      <c r="BS936" t="s">
        <v>14007</v>
      </c>
      <c r="BT936" t="str">
        <f>HYPERLINK("https%3A%2F%2Fwww.webofscience.com%2Fwos%2Fwoscc%2Ffull-record%2FWOS:000236632500001","View Full Record in Web of Science")</f>
        <v>View Full Record in Web of Science</v>
      </c>
    </row>
    <row r="937" spans="1:72" x14ac:dyDescent="0.15">
      <c r="A937" t="s">
        <v>12866</v>
      </c>
      <c r="B937" t="s">
        <v>14008</v>
      </c>
      <c r="C937" t="s">
        <v>74</v>
      </c>
      <c r="D937" t="s">
        <v>13992</v>
      </c>
      <c r="E937" t="s">
        <v>74</v>
      </c>
      <c r="F937" t="s">
        <v>14008</v>
      </c>
      <c r="G937" t="s">
        <v>74</v>
      </c>
      <c r="H937" t="s">
        <v>74</v>
      </c>
      <c r="I937" t="s">
        <v>14009</v>
      </c>
      <c r="J937" t="s">
        <v>13994</v>
      </c>
      <c r="K937" t="s">
        <v>74</v>
      </c>
      <c r="L937" t="s">
        <v>74</v>
      </c>
      <c r="M937" t="s">
        <v>78</v>
      </c>
      <c r="N937" t="s">
        <v>12873</v>
      </c>
      <c r="O937" t="s">
        <v>13995</v>
      </c>
      <c r="P937" t="s">
        <v>13996</v>
      </c>
      <c r="Q937" t="s">
        <v>13997</v>
      </c>
      <c r="R937" t="s">
        <v>74</v>
      </c>
      <c r="S937" t="s">
        <v>13998</v>
      </c>
      <c r="T937" t="s">
        <v>74</v>
      </c>
      <c r="U937" t="s">
        <v>74</v>
      </c>
      <c r="V937" t="s">
        <v>14010</v>
      </c>
      <c r="W937" t="s">
        <v>74</v>
      </c>
      <c r="X937" t="s">
        <v>74</v>
      </c>
      <c r="Y937" t="s">
        <v>14011</v>
      </c>
      <c r="Z937" t="s">
        <v>74</v>
      </c>
      <c r="AA937" t="s">
        <v>74</v>
      </c>
      <c r="AB937" t="s">
        <v>74</v>
      </c>
      <c r="AC937" t="s">
        <v>74</v>
      </c>
      <c r="AD937" t="s">
        <v>74</v>
      </c>
      <c r="AE937" t="s">
        <v>74</v>
      </c>
      <c r="AF937" t="s">
        <v>74</v>
      </c>
      <c r="AG937">
        <v>12</v>
      </c>
      <c r="AH937">
        <v>2</v>
      </c>
      <c r="AI937">
        <v>2</v>
      </c>
      <c r="AJ937">
        <v>0</v>
      </c>
      <c r="AK937">
        <v>4</v>
      </c>
      <c r="AL937" t="s">
        <v>14001</v>
      </c>
      <c r="AM937" t="s">
        <v>14002</v>
      </c>
      <c r="AN937" t="s">
        <v>14003</v>
      </c>
      <c r="AO937" t="s">
        <v>74</v>
      </c>
      <c r="AP937" t="s">
        <v>74</v>
      </c>
      <c r="AQ937" t="s">
        <v>14004</v>
      </c>
      <c r="AR937" t="s">
        <v>74</v>
      </c>
      <c r="AS937" t="s">
        <v>74</v>
      </c>
      <c r="AT937" t="s">
        <v>74</v>
      </c>
      <c r="AU937">
        <v>2006</v>
      </c>
      <c r="AV937" t="s">
        <v>74</v>
      </c>
      <c r="AW937" t="s">
        <v>74</v>
      </c>
      <c r="AX937" t="s">
        <v>74</v>
      </c>
      <c r="AY937" t="s">
        <v>74</v>
      </c>
      <c r="AZ937" t="s">
        <v>74</v>
      </c>
      <c r="BA937" t="s">
        <v>74</v>
      </c>
      <c r="BB937">
        <v>7</v>
      </c>
      <c r="BC937">
        <v>11</v>
      </c>
      <c r="BD937" t="s">
        <v>74</v>
      </c>
      <c r="BE937" t="s">
        <v>14012</v>
      </c>
      <c r="BF937" t="str">
        <f>HYPERLINK("http://dx.doi.org/10.1007/3-540-32934-X_2","http://dx.doi.org/10.1007/3-540-32934-X_2")</f>
        <v>http://dx.doi.org/10.1007/3-540-32934-X_2</v>
      </c>
      <c r="BG937" t="s">
        <v>74</v>
      </c>
      <c r="BH937" t="s">
        <v>74</v>
      </c>
      <c r="BI937">
        <v>5</v>
      </c>
      <c r="BJ937" t="s">
        <v>527</v>
      </c>
      <c r="BK937" t="s">
        <v>12886</v>
      </c>
      <c r="BL937" t="s">
        <v>528</v>
      </c>
      <c r="BM937" t="s">
        <v>14006</v>
      </c>
      <c r="BN937" t="s">
        <v>74</v>
      </c>
      <c r="BO937" t="s">
        <v>74</v>
      </c>
      <c r="BP937" t="s">
        <v>74</v>
      </c>
      <c r="BQ937" t="s">
        <v>74</v>
      </c>
      <c r="BR937" t="s">
        <v>100</v>
      </c>
      <c r="BS937" t="s">
        <v>14013</v>
      </c>
      <c r="BT937" t="str">
        <f>HYPERLINK("https%3A%2F%2Fwww.webofscience.com%2Fwos%2Fwoscc%2Ffull-record%2FWOS:000236632500002","View Full Record in Web of Science")</f>
        <v>View Full Record in Web of Science</v>
      </c>
    </row>
    <row r="938" spans="1:72" x14ac:dyDescent="0.15">
      <c r="A938" t="s">
        <v>12866</v>
      </c>
      <c r="B938" t="s">
        <v>14014</v>
      </c>
      <c r="C938" t="s">
        <v>74</v>
      </c>
      <c r="D938" t="s">
        <v>13992</v>
      </c>
      <c r="E938" t="s">
        <v>74</v>
      </c>
      <c r="F938" t="s">
        <v>14014</v>
      </c>
      <c r="G938" t="s">
        <v>74</v>
      </c>
      <c r="H938" t="s">
        <v>74</v>
      </c>
      <c r="I938" t="s">
        <v>14015</v>
      </c>
      <c r="J938" t="s">
        <v>14016</v>
      </c>
      <c r="K938" t="s">
        <v>74</v>
      </c>
      <c r="L938" t="s">
        <v>74</v>
      </c>
      <c r="M938" t="s">
        <v>78</v>
      </c>
      <c r="N938" t="s">
        <v>12873</v>
      </c>
      <c r="O938" t="s">
        <v>13995</v>
      </c>
      <c r="P938" t="s">
        <v>13996</v>
      </c>
      <c r="Q938" t="s">
        <v>13997</v>
      </c>
      <c r="R938" t="s">
        <v>74</v>
      </c>
      <c r="S938" t="s">
        <v>13998</v>
      </c>
      <c r="T938" t="s">
        <v>74</v>
      </c>
      <c r="U938" t="s">
        <v>74</v>
      </c>
      <c r="V938" t="s">
        <v>14017</v>
      </c>
      <c r="W938" t="s">
        <v>14018</v>
      </c>
      <c r="X938" t="s">
        <v>14019</v>
      </c>
      <c r="Y938" t="s">
        <v>14020</v>
      </c>
      <c r="Z938" t="s">
        <v>74</v>
      </c>
      <c r="AA938" t="s">
        <v>74</v>
      </c>
      <c r="AB938" t="s">
        <v>74</v>
      </c>
      <c r="AC938" t="s">
        <v>74</v>
      </c>
      <c r="AD938" t="s">
        <v>74</v>
      </c>
      <c r="AE938" t="s">
        <v>74</v>
      </c>
      <c r="AF938" t="s">
        <v>74</v>
      </c>
      <c r="AG938">
        <v>13</v>
      </c>
      <c r="AH938">
        <v>1</v>
      </c>
      <c r="AI938">
        <v>1</v>
      </c>
      <c r="AJ938">
        <v>0</v>
      </c>
      <c r="AK938">
        <v>3</v>
      </c>
      <c r="AL938" t="s">
        <v>14001</v>
      </c>
      <c r="AM938" t="s">
        <v>14002</v>
      </c>
      <c r="AN938" t="s">
        <v>14003</v>
      </c>
      <c r="AO938" t="s">
        <v>74</v>
      </c>
      <c r="AP938" t="s">
        <v>74</v>
      </c>
      <c r="AQ938" t="s">
        <v>14004</v>
      </c>
      <c r="AR938" t="s">
        <v>74</v>
      </c>
      <c r="AS938" t="s">
        <v>74</v>
      </c>
      <c r="AT938" t="s">
        <v>74</v>
      </c>
      <c r="AU938">
        <v>2006</v>
      </c>
      <c r="AV938" t="s">
        <v>74</v>
      </c>
      <c r="AW938" t="s">
        <v>74</v>
      </c>
      <c r="AX938" t="s">
        <v>74</v>
      </c>
      <c r="AY938" t="s">
        <v>74</v>
      </c>
      <c r="AZ938" t="s">
        <v>74</v>
      </c>
      <c r="BA938" t="s">
        <v>74</v>
      </c>
      <c r="BB938">
        <v>15</v>
      </c>
      <c r="BC938" t="s">
        <v>7504</v>
      </c>
      <c r="BD938" t="s">
        <v>74</v>
      </c>
      <c r="BE938" t="s">
        <v>14021</v>
      </c>
      <c r="BF938" t="str">
        <f>HYPERLINK("http://dx.doi.org/10.1007/3-540-32934-X_3","http://dx.doi.org/10.1007/3-540-32934-X_3")</f>
        <v>http://dx.doi.org/10.1007/3-540-32934-X_3</v>
      </c>
      <c r="BG938" t="s">
        <v>74</v>
      </c>
      <c r="BH938" t="s">
        <v>74</v>
      </c>
      <c r="BI938">
        <v>2</v>
      </c>
      <c r="BJ938" t="s">
        <v>527</v>
      </c>
      <c r="BK938" t="s">
        <v>12886</v>
      </c>
      <c r="BL938" t="s">
        <v>528</v>
      </c>
      <c r="BM938" t="s">
        <v>14006</v>
      </c>
      <c r="BN938" t="s">
        <v>74</v>
      </c>
      <c r="BO938" t="s">
        <v>74</v>
      </c>
      <c r="BP938" t="s">
        <v>74</v>
      </c>
      <c r="BQ938" t="s">
        <v>74</v>
      </c>
      <c r="BR938" t="s">
        <v>100</v>
      </c>
      <c r="BS938" t="s">
        <v>14022</v>
      </c>
      <c r="BT938" t="str">
        <f>HYPERLINK("https%3A%2F%2Fwww.webofscience.com%2Fwos%2Fwoscc%2Ffull-record%2FWOS:000236632500003","View Full Record in Web of Science")</f>
        <v>View Full Record in Web of Science</v>
      </c>
    </row>
    <row r="939" spans="1:72" x14ac:dyDescent="0.15">
      <c r="A939" t="s">
        <v>12866</v>
      </c>
      <c r="B939" t="s">
        <v>14023</v>
      </c>
      <c r="C939" t="s">
        <v>74</v>
      </c>
      <c r="D939" t="s">
        <v>13992</v>
      </c>
      <c r="E939" t="s">
        <v>74</v>
      </c>
      <c r="F939" t="s">
        <v>14023</v>
      </c>
      <c r="G939" t="s">
        <v>74</v>
      </c>
      <c r="H939" t="s">
        <v>74</v>
      </c>
      <c r="I939" t="s">
        <v>14024</v>
      </c>
      <c r="J939" t="s">
        <v>14016</v>
      </c>
      <c r="K939" t="s">
        <v>74</v>
      </c>
      <c r="L939" t="s">
        <v>74</v>
      </c>
      <c r="M939" t="s">
        <v>78</v>
      </c>
      <c r="N939" t="s">
        <v>12873</v>
      </c>
      <c r="O939" t="s">
        <v>13995</v>
      </c>
      <c r="P939" t="s">
        <v>13996</v>
      </c>
      <c r="Q939" t="s">
        <v>13997</v>
      </c>
      <c r="R939" t="s">
        <v>74</v>
      </c>
      <c r="S939" t="s">
        <v>13998</v>
      </c>
      <c r="T939" t="s">
        <v>74</v>
      </c>
      <c r="U939" t="s">
        <v>14025</v>
      </c>
      <c r="V939" t="s">
        <v>14026</v>
      </c>
      <c r="W939" t="s">
        <v>14027</v>
      </c>
      <c r="X939" t="s">
        <v>14028</v>
      </c>
      <c r="Y939" t="s">
        <v>14029</v>
      </c>
      <c r="Z939" t="s">
        <v>14030</v>
      </c>
      <c r="AA939" t="s">
        <v>74</v>
      </c>
      <c r="AB939" t="s">
        <v>74</v>
      </c>
      <c r="AC939" t="s">
        <v>74</v>
      </c>
      <c r="AD939" t="s">
        <v>74</v>
      </c>
      <c r="AE939" t="s">
        <v>74</v>
      </c>
      <c r="AF939" t="s">
        <v>74</v>
      </c>
      <c r="AG939">
        <v>27</v>
      </c>
      <c r="AH939">
        <v>13</v>
      </c>
      <c r="AI939">
        <v>14</v>
      </c>
      <c r="AJ939">
        <v>0</v>
      </c>
      <c r="AK939">
        <v>0</v>
      </c>
      <c r="AL939" t="s">
        <v>14001</v>
      </c>
      <c r="AM939" t="s">
        <v>14002</v>
      </c>
      <c r="AN939" t="s">
        <v>14003</v>
      </c>
      <c r="AO939" t="s">
        <v>74</v>
      </c>
      <c r="AP939" t="s">
        <v>74</v>
      </c>
      <c r="AQ939" t="s">
        <v>14004</v>
      </c>
      <c r="AR939" t="s">
        <v>74</v>
      </c>
      <c r="AS939" t="s">
        <v>74</v>
      </c>
      <c r="AT939" t="s">
        <v>74</v>
      </c>
      <c r="AU939">
        <v>2006</v>
      </c>
      <c r="AV939" t="s">
        <v>74</v>
      </c>
      <c r="AW939" t="s">
        <v>74</v>
      </c>
      <c r="AX939" t="s">
        <v>74</v>
      </c>
      <c r="AY939" t="s">
        <v>74</v>
      </c>
      <c r="AZ939" t="s">
        <v>74</v>
      </c>
      <c r="BA939" t="s">
        <v>74</v>
      </c>
      <c r="BB939">
        <v>23</v>
      </c>
      <c r="BC939" t="s">
        <v>7504</v>
      </c>
      <c r="BD939" t="s">
        <v>74</v>
      </c>
      <c r="BE939" t="s">
        <v>14031</v>
      </c>
      <c r="BF939" t="str">
        <f>HYPERLINK("http://dx.doi.org/10.1007/3-540-32934-X_4","http://dx.doi.org/10.1007/3-540-32934-X_4")</f>
        <v>http://dx.doi.org/10.1007/3-540-32934-X_4</v>
      </c>
      <c r="BG939" t="s">
        <v>74</v>
      </c>
      <c r="BH939" t="s">
        <v>74</v>
      </c>
      <c r="BI939">
        <v>2</v>
      </c>
      <c r="BJ939" t="s">
        <v>527</v>
      </c>
      <c r="BK939" t="s">
        <v>12886</v>
      </c>
      <c r="BL939" t="s">
        <v>528</v>
      </c>
      <c r="BM939" t="s">
        <v>14006</v>
      </c>
      <c r="BN939" t="s">
        <v>74</v>
      </c>
      <c r="BO939" t="s">
        <v>74</v>
      </c>
      <c r="BP939" t="s">
        <v>74</v>
      </c>
      <c r="BQ939" t="s">
        <v>74</v>
      </c>
      <c r="BR939" t="s">
        <v>100</v>
      </c>
      <c r="BS939" t="s">
        <v>14032</v>
      </c>
      <c r="BT939" t="str">
        <f>HYPERLINK("https%3A%2F%2Fwww.webofscience.com%2Fwos%2Fwoscc%2Ffull-record%2FWOS:000236632500004","View Full Record in Web of Science")</f>
        <v>View Full Record in Web of Science</v>
      </c>
    </row>
    <row r="940" spans="1:72" x14ac:dyDescent="0.15">
      <c r="A940" t="s">
        <v>12866</v>
      </c>
      <c r="B940" t="s">
        <v>14033</v>
      </c>
      <c r="C940" t="s">
        <v>74</v>
      </c>
      <c r="D940" t="s">
        <v>13992</v>
      </c>
      <c r="E940" t="s">
        <v>74</v>
      </c>
      <c r="F940" t="s">
        <v>14033</v>
      </c>
      <c r="G940" t="s">
        <v>74</v>
      </c>
      <c r="H940" t="s">
        <v>74</v>
      </c>
      <c r="I940" t="s">
        <v>14034</v>
      </c>
      <c r="J940" t="s">
        <v>14016</v>
      </c>
      <c r="K940" t="s">
        <v>74</v>
      </c>
      <c r="L940" t="s">
        <v>74</v>
      </c>
      <c r="M940" t="s">
        <v>78</v>
      </c>
      <c r="N940" t="s">
        <v>12873</v>
      </c>
      <c r="O940" t="s">
        <v>13995</v>
      </c>
      <c r="P940" t="s">
        <v>13996</v>
      </c>
      <c r="Q940" t="s">
        <v>13997</v>
      </c>
      <c r="R940" t="s">
        <v>74</v>
      </c>
      <c r="S940" t="s">
        <v>13998</v>
      </c>
      <c r="T940" t="s">
        <v>74</v>
      </c>
      <c r="U940" t="s">
        <v>14035</v>
      </c>
      <c r="V940" t="s">
        <v>14036</v>
      </c>
      <c r="W940" t="s">
        <v>14037</v>
      </c>
      <c r="X940" t="s">
        <v>14038</v>
      </c>
      <c r="Y940" t="s">
        <v>14039</v>
      </c>
      <c r="Z940" t="s">
        <v>74</v>
      </c>
      <c r="AA940" t="s">
        <v>14040</v>
      </c>
      <c r="AB940" t="s">
        <v>14041</v>
      </c>
      <c r="AC940" t="s">
        <v>74</v>
      </c>
      <c r="AD940" t="s">
        <v>74</v>
      </c>
      <c r="AE940" t="s">
        <v>74</v>
      </c>
      <c r="AF940" t="s">
        <v>74</v>
      </c>
      <c r="AG940">
        <v>32</v>
      </c>
      <c r="AH940">
        <v>18</v>
      </c>
      <c r="AI940">
        <v>19</v>
      </c>
      <c r="AJ940">
        <v>0</v>
      </c>
      <c r="AK940">
        <v>1</v>
      </c>
      <c r="AL940" t="s">
        <v>14001</v>
      </c>
      <c r="AM940" t="s">
        <v>14002</v>
      </c>
      <c r="AN940" t="s">
        <v>14003</v>
      </c>
      <c r="AO940" t="s">
        <v>74</v>
      </c>
      <c r="AP940" t="s">
        <v>74</v>
      </c>
      <c r="AQ940" t="s">
        <v>14004</v>
      </c>
      <c r="AR940" t="s">
        <v>74</v>
      </c>
      <c r="AS940" t="s">
        <v>74</v>
      </c>
      <c r="AT940" t="s">
        <v>74</v>
      </c>
      <c r="AU940">
        <v>2006</v>
      </c>
      <c r="AV940" t="s">
        <v>74</v>
      </c>
      <c r="AW940" t="s">
        <v>74</v>
      </c>
      <c r="AX940" t="s">
        <v>74</v>
      </c>
      <c r="AY940" t="s">
        <v>74</v>
      </c>
      <c r="AZ940" t="s">
        <v>74</v>
      </c>
      <c r="BA940" t="s">
        <v>74</v>
      </c>
      <c r="BB940">
        <v>37</v>
      </c>
      <c r="BC940" t="s">
        <v>7504</v>
      </c>
      <c r="BD940" t="s">
        <v>74</v>
      </c>
      <c r="BE940" t="s">
        <v>14042</v>
      </c>
      <c r="BF940" t="str">
        <f>HYPERLINK("http://dx.doi.org/10.1007/3-540-32934-X_5","http://dx.doi.org/10.1007/3-540-32934-X_5")</f>
        <v>http://dx.doi.org/10.1007/3-540-32934-X_5</v>
      </c>
      <c r="BG940" t="s">
        <v>74</v>
      </c>
      <c r="BH940" t="s">
        <v>74</v>
      </c>
      <c r="BI940">
        <v>3</v>
      </c>
      <c r="BJ940" t="s">
        <v>527</v>
      </c>
      <c r="BK940" t="s">
        <v>12886</v>
      </c>
      <c r="BL940" t="s">
        <v>528</v>
      </c>
      <c r="BM940" t="s">
        <v>14006</v>
      </c>
      <c r="BN940" t="s">
        <v>74</v>
      </c>
      <c r="BO940" t="s">
        <v>74</v>
      </c>
      <c r="BP940" t="s">
        <v>74</v>
      </c>
      <c r="BQ940" t="s">
        <v>74</v>
      </c>
      <c r="BR940" t="s">
        <v>100</v>
      </c>
      <c r="BS940" t="s">
        <v>14043</v>
      </c>
      <c r="BT940" t="str">
        <f>HYPERLINK("https%3A%2F%2Fwww.webofscience.com%2Fwos%2Fwoscc%2Ffull-record%2FWOS:000236632500005","View Full Record in Web of Science")</f>
        <v>View Full Record in Web of Science</v>
      </c>
    </row>
    <row r="941" spans="1:72" x14ac:dyDescent="0.15">
      <c r="A941" t="s">
        <v>12866</v>
      </c>
      <c r="B941" t="s">
        <v>14044</v>
      </c>
      <c r="C941" t="s">
        <v>74</v>
      </c>
      <c r="D941" t="s">
        <v>13992</v>
      </c>
      <c r="E941" t="s">
        <v>74</v>
      </c>
      <c r="F941" t="s">
        <v>14044</v>
      </c>
      <c r="G941" t="s">
        <v>74</v>
      </c>
      <c r="H941" t="s">
        <v>74</v>
      </c>
      <c r="I941" t="s">
        <v>14045</v>
      </c>
      <c r="J941" t="s">
        <v>14016</v>
      </c>
      <c r="K941" t="s">
        <v>74</v>
      </c>
      <c r="L941" t="s">
        <v>74</v>
      </c>
      <c r="M941" t="s">
        <v>78</v>
      </c>
      <c r="N941" t="s">
        <v>12873</v>
      </c>
      <c r="O941" t="s">
        <v>13995</v>
      </c>
      <c r="P941" t="s">
        <v>13996</v>
      </c>
      <c r="Q941" t="s">
        <v>13997</v>
      </c>
      <c r="R941" t="s">
        <v>74</v>
      </c>
      <c r="S941" t="s">
        <v>13998</v>
      </c>
      <c r="T941" t="s">
        <v>74</v>
      </c>
      <c r="U941" t="s">
        <v>14046</v>
      </c>
      <c r="V941" t="s">
        <v>14047</v>
      </c>
      <c r="W941" t="s">
        <v>14048</v>
      </c>
      <c r="X941" t="s">
        <v>14049</v>
      </c>
      <c r="Y941" t="s">
        <v>14050</v>
      </c>
      <c r="Z941" t="s">
        <v>14051</v>
      </c>
      <c r="AA941" t="s">
        <v>74</v>
      </c>
      <c r="AB941" t="s">
        <v>74</v>
      </c>
      <c r="AC941" t="s">
        <v>74</v>
      </c>
      <c r="AD941" t="s">
        <v>74</v>
      </c>
      <c r="AE941" t="s">
        <v>74</v>
      </c>
      <c r="AF941" t="s">
        <v>74</v>
      </c>
      <c r="AG941">
        <v>35</v>
      </c>
      <c r="AH941">
        <v>9</v>
      </c>
      <c r="AI941">
        <v>9</v>
      </c>
      <c r="AJ941">
        <v>0</v>
      </c>
      <c r="AK941">
        <v>1</v>
      </c>
      <c r="AL941" t="s">
        <v>14001</v>
      </c>
      <c r="AM941" t="s">
        <v>14002</v>
      </c>
      <c r="AN941" t="s">
        <v>14003</v>
      </c>
      <c r="AO941" t="s">
        <v>74</v>
      </c>
      <c r="AP941" t="s">
        <v>74</v>
      </c>
      <c r="AQ941" t="s">
        <v>14004</v>
      </c>
      <c r="AR941" t="s">
        <v>74</v>
      </c>
      <c r="AS941" t="s">
        <v>74</v>
      </c>
      <c r="AT941" t="s">
        <v>74</v>
      </c>
      <c r="AU941">
        <v>2006</v>
      </c>
      <c r="AV941" t="s">
        <v>74</v>
      </c>
      <c r="AW941" t="s">
        <v>74</v>
      </c>
      <c r="AX941" t="s">
        <v>74</v>
      </c>
      <c r="AY941" t="s">
        <v>74</v>
      </c>
      <c r="AZ941" t="s">
        <v>74</v>
      </c>
      <c r="BA941" t="s">
        <v>74</v>
      </c>
      <c r="BB941">
        <v>45</v>
      </c>
      <c r="BC941" t="s">
        <v>7504</v>
      </c>
      <c r="BD941" t="s">
        <v>74</v>
      </c>
      <c r="BE941" t="s">
        <v>14052</v>
      </c>
      <c r="BF941" t="str">
        <f>HYPERLINK("http://dx.doi.org/10.1007/3-540-32934-X_6","http://dx.doi.org/10.1007/3-540-32934-X_6")</f>
        <v>http://dx.doi.org/10.1007/3-540-32934-X_6</v>
      </c>
      <c r="BG941" t="s">
        <v>74</v>
      </c>
      <c r="BH941" t="s">
        <v>74</v>
      </c>
      <c r="BI941">
        <v>3</v>
      </c>
      <c r="BJ941" t="s">
        <v>527</v>
      </c>
      <c r="BK941" t="s">
        <v>12886</v>
      </c>
      <c r="BL941" t="s">
        <v>528</v>
      </c>
      <c r="BM941" t="s">
        <v>14006</v>
      </c>
      <c r="BN941" t="s">
        <v>74</v>
      </c>
      <c r="BO941" t="s">
        <v>74</v>
      </c>
      <c r="BP941" t="s">
        <v>74</v>
      </c>
      <c r="BQ941" t="s">
        <v>74</v>
      </c>
      <c r="BR941" t="s">
        <v>100</v>
      </c>
      <c r="BS941" t="s">
        <v>14053</v>
      </c>
      <c r="BT941" t="str">
        <f>HYPERLINK("https%3A%2F%2Fwww.webofscience.com%2Fwos%2Fwoscc%2Ffull-record%2FWOS:000236632500006","View Full Record in Web of Science")</f>
        <v>View Full Record in Web of Science</v>
      </c>
    </row>
    <row r="942" spans="1:72" x14ac:dyDescent="0.15">
      <c r="A942" t="s">
        <v>12866</v>
      </c>
      <c r="B942" t="s">
        <v>14054</v>
      </c>
      <c r="C942" t="s">
        <v>74</v>
      </c>
      <c r="D942" t="s">
        <v>13992</v>
      </c>
      <c r="E942" t="s">
        <v>74</v>
      </c>
      <c r="F942" t="s">
        <v>14054</v>
      </c>
      <c r="G942" t="s">
        <v>74</v>
      </c>
      <c r="H942" t="s">
        <v>74</v>
      </c>
      <c r="I942" t="s">
        <v>14055</v>
      </c>
      <c r="J942" t="s">
        <v>14016</v>
      </c>
      <c r="K942" t="s">
        <v>74</v>
      </c>
      <c r="L942" t="s">
        <v>74</v>
      </c>
      <c r="M942" t="s">
        <v>78</v>
      </c>
      <c r="N942" t="s">
        <v>12873</v>
      </c>
      <c r="O942" t="s">
        <v>13995</v>
      </c>
      <c r="P942" t="s">
        <v>13996</v>
      </c>
      <c r="Q942" t="s">
        <v>13997</v>
      </c>
      <c r="R942" t="s">
        <v>74</v>
      </c>
      <c r="S942" t="s">
        <v>13998</v>
      </c>
      <c r="T942" t="s">
        <v>74</v>
      </c>
      <c r="U942" t="s">
        <v>14056</v>
      </c>
      <c r="V942" t="s">
        <v>14057</v>
      </c>
      <c r="W942" t="s">
        <v>14058</v>
      </c>
      <c r="X942" t="s">
        <v>14059</v>
      </c>
      <c r="Y942" t="s">
        <v>14060</v>
      </c>
      <c r="Z942" t="s">
        <v>14061</v>
      </c>
      <c r="AA942" t="s">
        <v>74</v>
      </c>
      <c r="AB942" t="s">
        <v>74</v>
      </c>
      <c r="AC942" t="s">
        <v>14062</v>
      </c>
      <c r="AD942" t="s">
        <v>14063</v>
      </c>
      <c r="AE942" t="s">
        <v>14064</v>
      </c>
      <c r="AF942" t="s">
        <v>74</v>
      </c>
      <c r="AG942">
        <v>23</v>
      </c>
      <c r="AH942">
        <v>3</v>
      </c>
      <c r="AI942">
        <v>3</v>
      </c>
      <c r="AJ942">
        <v>0</v>
      </c>
      <c r="AK942">
        <v>1</v>
      </c>
      <c r="AL942" t="s">
        <v>14001</v>
      </c>
      <c r="AM942" t="s">
        <v>14002</v>
      </c>
      <c r="AN942" t="s">
        <v>14003</v>
      </c>
      <c r="AO942" t="s">
        <v>74</v>
      </c>
      <c r="AP942" t="s">
        <v>74</v>
      </c>
      <c r="AQ942" t="s">
        <v>14004</v>
      </c>
      <c r="AR942" t="s">
        <v>74</v>
      </c>
      <c r="AS942" t="s">
        <v>74</v>
      </c>
      <c r="AT942" t="s">
        <v>74</v>
      </c>
      <c r="AU942">
        <v>2006</v>
      </c>
      <c r="AV942" t="s">
        <v>74</v>
      </c>
      <c r="AW942" t="s">
        <v>74</v>
      </c>
      <c r="AX942" t="s">
        <v>74</v>
      </c>
      <c r="AY942" t="s">
        <v>74</v>
      </c>
      <c r="AZ942" t="s">
        <v>74</v>
      </c>
      <c r="BA942" t="s">
        <v>74</v>
      </c>
      <c r="BB942">
        <v>55</v>
      </c>
      <c r="BC942" t="s">
        <v>7504</v>
      </c>
      <c r="BD942" t="s">
        <v>74</v>
      </c>
      <c r="BE942" t="s">
        <v>14065</v>
      </c>
      <c r="BF942" t="str">
        <f>HYPERLINK("http://dx.doi.org/10.1007/3-540-32934-X_7","http://dx.doi.org/10.1007/3-540-32934-X_7")</f>
        <v>http://dx.doi.org/10.1007/3-540-32934-X_7</v>
      </c>
      <c r="BG942" t="s">
        <v>74</v>
      </c>
      <c r="BH942" t="s">
        <v>74</v>
      </c>
      <c r="BI942">
        <v>2</v>
      </c>
      <c r="BJ942" t="s">
        <v>527</v>
      </c>
      <c r="BK942" t="s">
        <v>12886</v>
      </c>
      <c r="BL942" t="s">
        <v>528</v>
      </c>
      <c r="BM942" t="s">
        <v>14006</v>
      </c>
      <c r="BN942" t="s">
        <v>74</v>
      </c>
      <c r="BO942" t="s">
        <v>147</v>
      </c>
      <c r="BP942" t="s">
        <v>74</v>
      </c>
      <c r="BQ942" t="s">
        <v>74</v>
      </c>
      <c r="BR942" t="s">
        <v>100</v>
      </c>
      <c r="BS942" t="s">
        <v>14066</v>
      </c>
      <c r="BT942" t="str">
        <f>HYPERLINK("https%3A%2F%2Fwww.webofscience.com%2Fwos%2Fwoscc%2Ffull-record%2FWOS:000236632500007","View Full Record in Web of Science")</f>
        <v>View Full Record in Web of Science</v>
      </c>
    </row>
    <row r="943" spans="1:72" x14ac:dyDescent="0.15">
      <c r="A943" t="s">
        <v>12866</v>
      </c>
      <c r="B943" t="s">
        <v>14067</v>
      </c>
      <c r="C943" t="s">
        <v>74</v>
      </c>
      <c r="D943" t="s">
        <v>13992</v>
      </c>
      <c r="E943" t="s">
        <v>74</v>
      </c>
      <c r="F943" t="s">
        <v>14067</v>
      </c>
      <c r="G943" t="s">
        <v>74</v>
      </c>
      <c r="H943" t="s">
        <v>74</v>
      </c>
      <c r="I943" t="s">
        <v>14068</v>
      </c>
      <c r="J943" t="s">
        <v>14016</v>
      </c>
      <c r="K943" t="s">
        <v>74</v>
      </c>
      <c r="L943" t="s">
        <v>74</v>
      </c>
      <c r="M943" t="s">
        <v>78</v>
      </c>
      <c r="N943" t="s">
        <v>12873</v>
      </c>
      <c r="O943" t="s">
        <v>13995</v>
      </c>
      <c r="P943" t="s">
        <v>13996</v>
      </c>
      <c r="Q943" t="s">
        <v>13997</v>
      </c>
      <c r="R943" t="s">
        <v>74</v>
      </c>
      <c r="S943" t="s">
        <v>13998</v>
      </c>
      <c r="T943" t="s">
        <v>74</v>
      </c>
      <c r="U943" t="s">
        <v>14069</v>
      </c>
      <c r="V943" t="s">
        <v>14070</v>
      </c>
      <c r="W943" t="s">
        <v>14071</v>
      </c>
      <c r="X943" t="s">
        <v>1418</v>
      </c>
      <c r="Y943" t="s">
        <v>14072</v>
      </c>
      <c r="Z943" t="s">
        <v>14073</v>
      </c>
      <c r="AA943" t="s">
        <v>14074</v>
      </c>
      <c r="AB943" t="s">
        <v>74</v>
      </c>
      <c r="AC943" t="s">
        <v>14075</v>
      </c>
      <c r="AD943" t="s">
        <v>14076</v>
      </c>
      <c r="AE943" t="s">
        <v>14077</v>
      </c>
      <c r="AF943" t="s">
        <v>74</v>
      </c>
      <c r="AG943">
        <v>17</v>
      </c>
      <c r="AH943">
        <v>6</v>
      </c>
      <c r="AI943">
        <v>6</v>
      </c>
      <c r="AJ943">
        <v>0</v>
      </c>
      <c r="AK943">
        <v>1</v>
      </c>
      <c r="AL943" t="s">
        <v>14001</v>
      </c>
      <c r="AM943" t="s">
        <v>14002</v>
      </c>
      <c r="AN943" t="s">
        <v>14003</v>
      </c>
      <c r="AO943" t="s">
        <v>74</v>
      </c>
      <c r="AP943" t="s">
        <v>74</v>
      </c>
      <c r="AQ943" t="s">
        <v>14004</v>
      </c>
      <c r="AR943" t="s">
        <v>74</v>
      </c>
      <c r="AS943" t="s">
        <v>74</v>
      </c>
      <c r="AT943" t="s">
        <v>74</v>
      </c>
      <c r="AU943">
        <v>2006</v>
      </c>
      <c r="AV943" t="s">
        <v>74</v>
      </c>
      <c r="AW943" t="s">
        <v>74</v>
      </c>
      <c r="AX943" t="s">
        <v>74</v>
      </c>
      <c r="AY943" t="s">
        <v>74</v>
      </c>
      <c r="AZ943" t="s">
        <v>74</v>
      </c>
      <c r="BA943" t="s">
        <v>74</v>
      </c>
      <c r="BB943">
        <v>63</v>
      </c>
      <c r="BC943" t="s">
        <v>7504</v>
      </c>
      <c r="BD943" t="s">
        <v>74</v>
      </c>
      <c r="BE943" t="s">
        <v>14078</v>
      </c>
      <c r="BF943" t="str">
        <f>HYPERLINK("http://dx.doi.org/10.1007/3-540-32934-X_8","http://dx.doi.org/10.1007/3-540-32934-X_8")</f>
        <v>http://dx.doi.org/10.1007/3-540-32934-X_8</v>
      </c>
      <c r="BG943" t="s">
        <v>74</v>
      </c>
      <c r="BH943" t="s">
        <v>74</v>
      </c>
      <c r="BI943">
        <v>3</v>
      </c>
      <c r="BJ943" t="s">
        <v>527</v>
      </c>
      <c r="BK943" t="s">
        <v>12886</v>
      </c>
      <c r="BL943" t="s">
        <v>528</v>
      </c>
      <c r="BM943" t="s">
        <v>14006</v>
      </c>
      <c r="BN943" t="s">
        <v>74</v>
      </c>
      <c r="BO943" t="s">
        <v>74</v>
      </c>
      <c r="BP943" t="s">
        <v>74</v>
      </c>
      <c r="BQ943" t="s">
        <v>74</v>
      </c>
      <c r="BR943" t="s">
        <v>100</v>
      </c>
      <c r="BS943" t="s">
        <v>14079</v>
      </c>
      <c r="BT943" t="str">
        <f>HYPERLINK("https%3A%2F%2Fwww.webofscience.com%2Fwos%2Fwoscc%2Ffull-record%2FWOS:000236632500008","View Full Record in Web of Science")</f>
        <v>View Full Record in Web of Science</v>
      </c>
    </row>
    <row r="944" spans="1:72" x14ac:dyDescent="0.15">
      <c r="A944" t="s">
        <v>12866</v>
      </c>
      <c r="B944" t="s">
        <v>14080</v>
      </c>
      <c r="C944" t="s">
        <v>74</v>
      </c>
      <c r="D944" t="s">
        <v>13992</v>
      </c>
      <c r="E944" t="s">
        <v>74</v>
      </c>
      <c r="F944" t="s">
        <v>14080</v>
      </c>
      <c r="G944" t="s">
        <v>74</v>
      </c>
      <c r="H944" t="s">
        <v>74</v>
      </c>
      <c r="I944" t="s">
        <v>14081</v>
      </c>
      <c r="J944" t="s">
        <v>14016</v>
      </c>
      <c r="K944" t="s">
        <v>74</v>
      </c>
      <c r="L944" t="s">
        <v>74</v>
      </c>
      <c r="M944" t="s">
        <v>78</v>
      </c>
      <c r="N944" t="s">
        <v>12873</v>
      </c>
      <c r="O944" t="s">
        <v>13995</v>
      </c>
      <c r="P944" t="s">
        <v>13996</v>
      </c>
      <c r="Q944" t="s">
        <v>13997</v>
      </c>
      <c r="R944" t="s">
        <v>74</v>
      </c>
      <c r="S944" t="s">
        <v>13998</v>
      </c>
      <c r="T944" t="s">
        <v>74</v>
      </c>
      <c r="U944" t="s">
        <v>14082</v>
      </c>
      <c r="V944" t="s">
        <v>14083</v>
      </c>
      <c r="W944" t="s">
        <v>14084</v>
      </c>
      <c r="X944" t="s">
        <v>74</v>
      </c>
      <c r="Y944" t="s">
        <v>14085</v>
      </c>
      <c r="Z944" t="s">
        <v>74</v>
      </c>
      <c r="AA944" t="s">
        <v>14086</v>
      </c>
      <c r="AB944" t="s">
        <v>14087</v>
      </c>
      <c r="AC944" t="s">
        <v>74</v>
      </c>
      <c r="AD944" t="s">
        <v>74</v>
      </c>
      <c r="AE944" t="s">
        <v>74</v>
      </c>
      <c r="AF944" t="s">
        <v>74</v>
      </c>
      <c r="AG944">
        <v>31</v>
      </c>
      <c r="AH944">
        <v>37</v>
      </c>
      <c r="AI944">
        <v>42</v>
      </c>
      <c r="AJ944">
        <v>0</v>
      </c>
      <c r="AK944">
        <v>4</v>
      </c>
      <c r="AL944" t="s">
        <v>14001</v>
      </c>
      <c r="AM944" t="s">
        <v>14002</v>
      </c>
      <c r="AN944" t="s">
        <v>14003</v>
      </c>
      <c r="AO944" t="s">
        <v>74</v>
      </c>
      <c r="AP944" t="s">
        <v>74</v>
      </c>
      <c r="AQ944" t="s">
        <v>14004</v>
      </c>
      <c r="AR944" t="s">
        <v>74</v>
      </c>
      <c r="AS944" t="s">
        <v>74</v>
      </c>
      <c r="AT944" t="s">
        <v>74</v>
      </c>
      <c r="AU944">
        <v>2006</v>
      </c>
      <c r="AV944" t="s">
        <v>74</v>
      </c>
      <c r="AW944" t="s">
        <v>74</v>
      </c>
      <c r="AX944" t="s">
        <v>74</v>
      </c>
      <c r="AY944" t="s">
        <v>74</v>
      </c>
      <c r="AZ944" t="s">
        <v>74</v>
      </c>
      <c r="BA944" t="s">
        <v>74</v>
      </c>
      <c r="BB944">
        <v>69</v>
      </c>
      <c r="BC944" t="s">
        <v>7504</v>
      </c>
      <c r="BD944" t="s">
        <v>74</v>
      </c>
      <c r="BE944" t="s">
        <v>14088</v>
      </c>
      <c r="BF944" t="str">
        <f>HYPERLINK("http://dx.doi.org/10.1007/3-540-32934-X_9","http://dx.doi.org/10.1007/3-540-32934-X_9")</f>
        <v>http://dx.doi.org/10.1007/3-540-32934-X_9</v>
      </c>
      <c r="BG944" t="s">
        <v>74</v>
      </c>
      <c r="BH944" t="s">
        <v>74</v>
      </c>
      <c r="BI944">
        <v>3</v>
      </c>
      <c r="BJ944" t="s">
        <v>527</v>
      </c>
      <c r="BK944" t="s">
        <v>12886</v>
      </c>
      <c r="BL944" t="s">
        <v>528</v>
      </c>
      <c r="BM944" t="s">
        <v>14006</v>
      </c>
      <c r="BN944" t="s">
        <v>74</v>
      </c>
      <c r="BO944" t="s">
        <v>147</v>
      </c>
      <c r="BP944" t="s">
        <v>74</v>
      </c>
      <c r="BQ944" t="s">
        <v>74</v>
      </c>
      <c r="BR944" t="s">
        <v>100</v>
      </c>
      <c r="BS944" t="s">
        <v>14089</v>
      </c>
      <c r="BT944" t="str">
        <f>HYPERLINK("https%3A%2F%2Fwww.webofscience.com%2Fwos%2Fwoscc%2Ffull-record%2FWOS:000236632500009","View Full Record in Web of Science")</f>
        <v>View Full Record in Web of Science</v>
      </c>
    </row>
    <row r="945" spans="1:72" x14ac:dyDescent="0.15">
      <c r="A945" t="s">
        <v>12866</v>
      </c>
      <c r="B945" t="s">
        <v>14090</v>
      </c>
      <c r="C945" t="s">
        <v>74</v>
      </c>
      <c r="D945" t="s">
        <v>13992</v>
      </c>
      <c r="E945" t="s">
        <v>74</v>
      </c>
      <c r="F945" t="s">
        <v>14090</v>
      </c>
      <c r="G945" t="s">
        <v>74</v>
      </c>
      <c r="H945" t="s">
        <v>74</v>
      </c>
      <c r="I945" t="s">
        <v>14091</v>
      </c>
      <c r="J945" t="s">
        <v>14016</v>
      </c>
      <c r="K945" t="s">
        <v>74</v>
      </c>
      <c r="L945" t="s">
        <v>74</v>
      </c>
      <c r="M945" t="s">
        <v>78</v>
      </c>
      <c r="N945" t="s">
        <v>12873</v>
      </c>
      <c r="O945" t="s">
        <v>13995</v>
      </c>
      <c r="P945" t="s">
        <v>13996</v>
      </c>
      <c r="Q945" t="s">
        <v>13997</v>
      </c>
      <c r="R945" t="s">
        <v>74</v>
      </c>
      <c r="S945" t="s">
        <v>13998</v>
      </c>
      <c r="T945" t="s">
        <v>74</v>
      </c>
      <c r="U945" t="s">
        <v>14092</v>
      </c>
      <c r="V945" t="s">
        <v>14093</v>
      </c>
      <c r="W945" t="s">
        <v>14094</v>
      </c>
      <c r="X945" t="s">
        <v>74</v>
      </c>
      <c r="Y945" t="s">
        <v>14095</v>
      </c>
      <c r="Z945" t="s">
        <v>14096</v>
      </c>
      <c r="AA945" t="s">
        <v>74</v>
      </c>
      <c r="AB945" t="s">
        <v>14097</v>
      </c>
      <c r="AC945" t="s">
        <v>74</v>
      </c>
      <c r="AD945" t="s">
        <v>74</v>
      </c>
      <c r="AE945" t="s">
        <v>74</v>
      </c>
      <c r="AF945" t="s">
        <v>74</v>
      </c>
      <c r="AG945">
        <v>50</v>
      </c>
      <c r="AH945">
        <v>19</v>
      </c>
      <c r="AI945">
        <v>21</v>
      </c>
      <c r="AJ945">
        <v>0</v>
      </c>
      <c r="AK945">
        <v>3</v>
      </c>
      <c r="AL945" t="s">
        <v>14001</v>
      </c>
      <c r="AM945" t="s">
        <v>14002</v>
      </c>
      <c r="AN945" t="s">
        <v>14003</v>
      </c>
      <c r="AO945" t="s">
        <v>74</v>
      </c>
      <c r="AP945" t="s">
        <v>74</v>
      </c>
      <c r="AQ945" t="s">
        <v>14004</v>
      </c>
      <c r="AR945" t="s">
        <v>74</v>
      </c>
      <c r="AS945" t="s">
        <v>74</v>
      </c>
      <c r="AT945" t="s">
        <v>74</v>
      </c>
      <c r="AU945">
        <v>2006</v>
      </c>
      <c r="AV945" t="s">
        <v>74</v>
      </c>
      <c r="AW945" t="s">
        <v>74</v>
      </c>
      <c r="AX945" t="s">
        <v>74</v>
      </c>
      <c r="AY945" t="s">
        <v>74</v>
      </c>
      <c r="AZ945" t="s">
        <v>74</v>
      </c>
      <c r="BA945" t="s">
        <v>74</v>
      </c>
      <c r="BB945">
        <v>83</v>
      </c>
      <c r="BC945" t="s">
        <v>7504</v>
      </c>
      <c r="BD945" t="s">
        <v>74</v>
      </c>
      <c r="BE945" t="s">
        <v>14098</v>
      </c>
      <c r="BF945" t="str">
        <f>HYPERLINK("http://dx.doi.org/10.1007/3-540-32934-X_10","http://dx.doi.org/10.1007/3-540-32934-X_10")</f>
        <v>http://dx.doi.org/10.1007/3-540-32934-X_10</v>
      </c>
      <c r="BG945" t="s">
        <v>74</v>
      </c>
      <c r="BH945" t="s">
        <v>74</v>
      </c>
      <c r="BI945">
        <v>3</v>
      </c>
      <c r="BJ945" t="s">
        <v>527</v>
      </c>
      <c r="BK945" t="s">
        <v>12886</v>
      </c>
      <c r="BL945" t="s">
        <v>528</v>
      </c>
      <c r="BM945" t="s">
        <v>14006</v>
      </c>
      <c r="BN945" t="s">
        <v>74</v>
      </c>
      <c r="BO945" t="s">
        <v>74</v>
      </c>
      <c r="BP945" t="s">
        <v>74</v>
      </c>
      <c r="BQ945" t="s">
        <v>74</v>
      </c>
      <c r="BR945" t="s">
        <v>100</v>
      </c>
      <c r="BS945" t="s">
        <v>14099</v>
      </c>
      <c r="BT945" t="str">
        <f>HYPERLINK("https%3A%2F%2Fwww.webofscience.com%2Fwos%2Fwoscc%2Ffull-record%2FWOS:000236632500010","View Full Record in Web of Science")</f>
        <v>View Full Record in Web of Science</v>
      </c>
    </row>
    <row r="946" spans="1:72" x14ac:dyDescent="0.15">
      <c r="A946" t="s">
        <v>12866</v>
      </c>
      <c r="B946" t="s">
        <v>14100</v>
      </c>
      <c r="C946" t="s">
        <v>74</v>
      </c>
      <c r="D946" t="s">
        <v>13992</v>
      </c>
      <c r="E946" t="s">
        <v>74</v>
      </c>
      <c r="F946" t="s">
        <v>14100</v>
      </c>
      <c r="G946" t="s">
        <v>74</v>
      </c>
      <c r="H946" t="s">
        <v>74</v>
      </c>
      <c r="I946" t="s">
        <v>14101</v>
      </c>
      <c r="J946" t="s">
        <v>14016</v>
      </c>
      <c r="K946" t="s">
        <v>74</v>
      </c>
      <c r="L946" t="s">
        <v>74</v>
      </c>
      <c r="M946" t="s">
        <v>78</v>
      </c>
      <c r="N946" t="s">
        <v>12873</v>
      </c>
      <c r="O946" t="s">
        <v>13995</v>
      </c>
      <c r="P946" t="s">
        <v>13996</v>
      </c>
      <c r="Q946" t="s">
        <v>13997</v>
      </c>
      <c r="R946" t="s">
        <v>74</v>
      </c>
      <c r="S946" t="s">
        <v>13998</v>
      </c>
      <c r="T946" t="s">
        <v>74</v>
      </c>
      <c r="U946" t="s">
        <v>14102</v>
      </c>
      <c r="V946" t="s">
        <v>14103</v>
      </c>
      <c r="W946" t="s">
        <v>14104</v>
      </c>
      <c r="X946" t="s">
        <v>14105</v>
      </c>
      <c r="Y946" t="s">
        <v>14095</v>
      </c>
      <c r="Z946" t="s">
        <v>14096</v>
      </c>
      <c r="AA946" t="s">
        <v>74</v>
      </c>
      <c r="AB946" t="s">
        <v>14097</v>
      </c>
      <c r="AC946" t="s">
        <v>74</v>
      </c>
      <c r="AD946" t="s">
        <v>74</v>
      </c>
      <c r="AE946" t="s">
        <v>74</v>
      </c>
      <c r="AF946" t="s">
        <v>74</v>
      </c>
      <c r="AG946">
        <v>33</v>
      </c>
      <c r="AH946">
        <v>10</v>
      </c>
      <c r="AI946">
        <v>11</v>
      </c>
      <c r="AJ946">
        <v>0</v>
      </c>
      <c r="AK946">
        <v>3</v>
      </c>
      <c r="AL946" t="s">
        <v>14001</v>
      </c>
      <c r="AM946" t="s">
        <v>14002</v>
      </c>
      <c r="AN946" t="s">
        <v>14003</v>
      </c>
      <c r="AO946" t="s">
        <v>74</v>
      </c>
      <c r="AP946" t="s">
        <v>74</v>
      </c>
      <c r="AQ946" t="s">
        <v>14004</v>
      </c>
      <c r="AR946" t="s">
        <v>74</v>
      </c>
      <c r="AS946" t="s">
        <v>74</v>
      </c>
      <c r="AT946" t="s">
        <v>74</v>
      </c>
      <c r="AU946">
        <v>2006</v>
      </c>
      <c r="AV946" t="s">
        <v>74</v>
      </c>
      <c r="AW946" t="s">
        <v>74</v>
      </c>
      <c r="AX946" t="s">
        <v>74</v>
      </c>
      <c r="AY946" t="s">
        <v>74</v>
      </c>
      <c r="AZ946" t="s">
        <v>74</v>
      </c>
      <c r="BA946" t="s">
        <v>74</v>
      </c>
      <c r="BB946">
        <v>95</v>
      </c>
      <c r="BC946" t="s">
        <v>7504</v>
      </c>
      <c r="BD946" t="s">
        <v>74</v>
      </c>
      <c r="BE946" t="s">
        <v>14106</v>
      </c>
      <c r="BF946" t="str">
        <f>HYPERLINK("http://dx.doi.org/10.1007/3-540-32934-X_11","http://dx.doi.org/10.1007/3-540-32934-X_11")</f>
        <v>http://dx.doi.org/10.1007/3-540-32934-X_11</v>
      </c>
      <c r="BG946" t="s">
        <v>74</v>
      </c>
      <c r="BH946" t="s">
        <v>74</v>
      </c>
      <c r="BI946">
        <v>3</v>
      </c>
      <c r="BJ946" t="s">
        <v>527</v>
      </c>
      <c r="BK946" t="s">
        <v>12886</v>
      </c>
      <c r="BL946" t="s">
        <v>528</v>
      </c>
      <c r="BM946" t="s">
        <v>14006</v>
      </c>
      <c r="BN946" t="s">
        <v>74</v>
      </c>
      <c r="BO946" t="s">
        <v>74</v>
      </c>
      <c r="BP946" t="s">
        <v>74</v>
      </c>
      <c r="BQ946" t="s">
        <v>74</v>
      </c>
      <c r="BR946" t="s">
        <v>100</v>
      </c>
      <c r="BS946" t="s">
        <v>14107</v>
      </c>
      <c r="BT946" t="str">
        <f>HYPERLINK("https%3A%2F%2Fwww.webofscience.com%2Fwos%2Fwoscc%2Ffull-record%2FWOS:000236632500011","View Full Record in Web of Science")</f>
        <v>View Full Record in Web of Science</v>
      </c>
    </row>
    <row r="947" spans="1:72" x14ac:dyDescent="0.15">
      <c r="A947" t="s">
        <v>12866</v>
      </c>
      <c r="B947" t="s">
        <v>14108</v>
      </c>
      <c r="C947" t="s">
        <v>74</v>
      </c>
      <c r="D947" t="s">
        <v>13992</v>
      </c>
      <c r="E947" t="s">
        <v>74</v>
      </c>
      <c r="F947" t="s">
        <v>14108</v>
      </c>
      <c r="G947" t="s">
        <v>74</v>
      </c>
      <c r="H947" t="s">
        <v>74</v>
      </c>
      <c r="I947" t="s">
        <v>14109</v>
      </c>
      <c r="J947" t="s">
        <v>14016</v>
      </c>
      <c r="K947" t="s">
        <v>74</v>
      </c>
      <c r="L947" t="s">
        <v>74</v>
      </c>
      <c r="M947" t="s">
        <v>78</v>
      </c>
      <c r="N947" t="s">
        <v>12873</v>
      </c>
      <c r="O947" t="s">
        <v>13995</v>
      </c>
      <c r="P947" t="s">
        <v>13996</v>
      </c>
      <c r="Q947" t="s">
        <v>13997</v>
      </c>
      <c r="R947" t="s">
        <v>74</v>
      </c>
      <c r="S947" t="s">
        <v>13998</v>
      </c>
      <c r="T947" t="s">
        <v>74</v>
      </c>
      <c r="U947" t="s">
        <v>14110</v>
      </c>
      <c r="V947" t="s">
        <v>14111</v>
      </c>
      <c r="W947" t="s">
        <v>14112</v>
      </c>
      <c r="X947" t="s">
        <v>14113</v>
      </c>
      <c r="Y947" t="s">
        <v>14085</v>
      </c>
      <c r="Z947" t="s">
        <v>14096</v>
      </c>
      <c r="AA947" t="s">
        <v>14114</v>
      </c>
      <c r="AB947" t="s">
        <v>14115</v>
      </c>
      <c r="AC947" t="s">
        <v>74</v>
      </c>
      <c r="AD947" t="s">
        <v>74</v>
      </c>
      <c r="AE947" t="s">
        <v>74</v>
      </c>
      <c r="AF947" t="s">
        <v>74</v>
      </c>
      <c r="AG947">
        <v>28</v>
      </c>
      <c r="AH947">
        <v>25</v>
      </c>
      <c r="AI947">
        <v>27</v>
      </c>
      <c r="AJ947">
        <v>0</v>
      </c>
      <c r="AK947">
        <v>4</v>
      </c>
      <c r="AL947" t="s">
        <v>14001</v>
      </c>
      <c r="AM947" t="s">
        <v>14002</v>
      </c>
      <c r="AN947" t="s">
        <v>14003</v>
      </c>
      <c r="AO947" t="s">
        <v>74</v>
      </c>
      <c r="AP947" t="s">
        <v>74</v>
      </c>
      <c r="AQ947" t="s">
        <v>14004</v>
      </c>
      <c r="AR947" t="s">
        <v>74</v>
      </c>
      <c r="AS947" t="s">
        <v>74</v>
      </c>
      <c r="AT947" t="s">
        <v>74</v>
      </c>
      <c r="AU947">
        <v>2006</v>
      </c>
      <c r="AV947" t="s">
        <v>74</v>
      </c>
      <c r="AW947" t="s">
        <v>74</v>
      </c>
      <c r="AX947" t="s">
        <v>74</v>
      </c>
      <c r="AY947" t="s">
        <v>74</v>
      </c>
      <c r="AZ947" t="s">
        <v>74</v>
      </c>
      <c r="BA947" t="s">
        <v>74</v>
      </c>
      <c r="BB947">
        <v>109</v>
      </c>
      <c r="BC947" t="s">
        <v>7504</v>
      </c>
      <c r="BD947" t="s">
        <v>74</v>
      </c>
      <c r="BE947" t="s">
        <v>14116</v>
      </c>
      <c r="BF947" t="str">
        <f>HYPERLINK("http://dx.doi.org/10.1007/3-540-32934-X_12","http://dx.doi.org/10.1007/3-540-32934-X_12")</f>
        <v>http://dx.doi.org/10.1007/3-540-32934-X_12</v>
      </c>
      <c r="BG947" t="s">
        <v>74</v>
      </c>
      <c r="BH947" t="s">
        <v>74</v>
      </c>
      <c r="BI947">
        <v>3</v>
      </c>
      <c r="BJ947" t="s">
        <v>527</v>
      </c>
      <c r="BK947" t="s">
        <v>12886</v>
      </c>
      <c r="BL947" t="s">
        <v>528</v>
      </c>
      <c r="BM947" t="s">
        <v>14006</v>
      </c>
      <c r="BN947" t="s">
        <v>74</v>
      </c>
      <c r="BO947" t="s">
        <v>74</v>
      </c>
      <c r="BP947" t="s">
        <v>74</v>
      </c>
      <c r="BQ947" t="s">
        <v>74</v>
      </c>
      <c r="BR947" t="s">
        <v>100</v>
      </c>
      <c r="BS947" t="s">
        <v>14117</v>
      </c>
      <c r="BT947" t="str">
        <f>HYPERLINK("https%3A%2F%2Fwww.webofscience.com%2Fwos%2Fwoscc%2Ffull-record%2FWOS:000236632500012","View Full Record in Web of Science")</f>
        <v>View Full Record in Web of Science</v>
      </c>
    </row>
    <row r="948" spans="1:72" x14ac:dyDescent="0.15">
      <c r="A948" t="s">
        <v>12866</v>
      </c>
      <c r="B948" t="s">
        <v>14118</v>
      </c>
      <c r="C948" t="s">
        <v>74</v>
      </c>
      <c r="D948" t="s">
        <v>13992</v>
      </c>
      <c r="E948" t="s">
        <v>74</v>
      </c>
      <c r="F948" t="s">
        <v>14118</v>
      </c>
      <c r="G948" t="s">
        <v>74</v>
      </c>
      <c r="H948" t="s">
        <v>74</v>
      </c>
      <c r="I948" t="s">
        <v>14119</v>
      </c>
      <c r="J948" t="s">
        <v>14016</v>
      </c>
      <c r="K948" t="s">
        <v>74</v>
      </c>
      <c r="L948" t="s">
        <v>74</v>
      </c>
      <c r="M948" t="s">
        <v>78</v>
      </c>
      <c r="N948" t="s">
        <v>12873</v>
      </c>
      <c r="O948" t="s">
        <v>13995</v>
      </c>
      <c r="P948" t="s">
        <v>13996</v>
      </c>
      <c r="Q948" t="s">
        <v>13997</v>
      </c>
      <c r="R948" t="s">
        <v>74</v>
      </c>
      <c r="S948" t="s">
        <v>13998</v>
      </c>
      <c r="T948" t="s">
        <v>74</v>
      </c>
      <c r="U948" t="s">
        <v>14120</v>
      </c>
      <c r="V948" t="s">
        <v>14121</v>
      </c>
      <c r="W948" t="s">
        <v>14122</v>
      </c>
      <c r="X948" t="s">
        <v>14123</v>
      </c>
      <c r="Y948" t="s">
        <v>14124</v>
      </c>
      <c r="Z948" t="s">
        <v>74</v>
      </c>
      <c r="AA948" t="s">
        <v>14125</v>
      </c>
      <c r="AB948" t="s">
        <v>14126</v>
      </c>
      <c r="AC948" t="s">
        <v>14127</v>
      </c>
      <c r="AD948" t="s">
        <v>14128</v>
      </c>
      <c r="AE948" t="s">
        <v>14129</v>
      </c>
      <c r="AF948" t="s">
        <v>74</v>
      </c>
      <c r="AG948">
        <v>26</v>
      </c>
      <c r="AH948">
        <v>10</v>
      </c>
      <c r="AI948">
        <v>12</v>
      </c>
      <c r="AJ948">
        <v>0</v>
      </c>
      <c r="AK948">
        <v>3</v>
      </c>
      <c r="AL948" t="s">
        <v>14001</v>
      </c>
      <c r="AM948" t="s">
        <v>14002</v>
      </c>
      <c r="AN948" t="s">
        <v>14003</v>
      </c>
      <c r="AO948" t="s">
        <v>74</v>
      </c>
      <c r="AP948" t="s">
        <v>74</v>
      </c>
      <c r="AQ948" t="s">
        <v>14004</v>
      </c>
      <c r="AR948" t="s">
        <v>74</v>
      </c>
      <c r="AS948" t="s">
        <v>74</v>
      </c>
      <c r="AT948" t="s">
        <v>74</v>
      </c>
      <c r="AU948">
        <v>2006</v>
      </c>
      <c r="AV948" t="s">
        <v>74</v>
      </c>
      <c r="AW948" t="s">
        <v>74</v>
      </c>
      <c r="AX948" t="s">
        <v>74</v>
      </c>
      <c r="AY948" t="s">
        <v>74</v>
      </c>
      <c r="AZ948" t="s">
        <v>74</v>
      </c>
      <c r="BA948" t="s">
        <v>74</v>
      </c>
      <c r="BB948">
        <v>117</v>
      </c>
      <c r="BC948" t="s">
        <v>7504</v>
      </c>
      <c r="BD948" t="s">
        <v>74</v>
      </c>
      <c r="BE948" t="s">
        <v>14130</v>
      </c>
      <c r="BF948" t="str">
        <f>HYPERLINK("http://dx.doi.org/10.1007/3-540-32934-X_13","http://dx.doi.org/10.1007/3-540-32934-X_13")</f>
        <v>http://dx.doi.org/10.1007/3-540-32934-X_13</v>
      </c>
      <c r="BG948" t="s">
        <v>74</v>
      </c>
      <c r="BH948" t="s">
        <v>74</v>
      </c>
      <c r="BI948">
        <v>2</v>
      </c>
      <c r="BJ948" t="s">
        <v>527</v>
      </c>
      <c r="BK948" t="s">
        <v>12886</v>
      </c>
      <c r="BL948" t="s">
        <v>528</v>
      </c>
      <c r="BM948" t="s">
        <v>14006</v>
      </c>
      <c r="BN948" t="s">
        <v>74</v>
      </c>
      <c r="BO948" t="s">
        <v>74</v>
      </c>
      <c r="BP948" t="s">
        <v>74</v>
      </c>
      <c r="BQ948" t="s">
        <v>74</v>
      </c>
      <c r="BR948" t="s">
        <v>100</v>
      </c>
      <c r="BS948" t="s">
        <v>14131</v>
      </c>
      <c r="BT948" t="str">
        <f>HYPERLINK("https%3A%2F%2Fwww.webofscience.com%2Fwos%2Fwoscc%2Ffull-record%2FWOS:000236632500013","View Full Record in Web of Science")</f>
        <v>View Full Record in Web of Science</v>
      </c>
    </row>
    <row r="949" spans="1:72" x14ac:dyDescent="0.15">
      <c r="A949" t="s">
        <v>12866</v>
      </c>
      <c r="B949" t="s">
        <v>14132</v>
      </c>
      <c r="C949" t="s">
        <v>74</v>
      </c>
      <c r="D949" t="s">
        <v>13992</v>
      </c>
      <c r="E949" t="s">
        <v>74</v>
      </c>
      <c r="F949" t="s">
        <v>14132</v>
      </c>
      <c r="G949" t="s">
        <v>74</v>
      </c>
      <c r="H949" t="s">
        <v>74</v>
      </c>
      <c r="I949" t="s">
        <v>14133</v>
      </c>
      <c r="J949" t="s">
        <v>14016</v>
      </c>
      <c r="K949" t="s">
        <v>74</v>
      </c>
      <c r="L949" t="s">
        <v>74</v>
      </c>
      <c r="M949" t="s">
        <v>78</v>
      </c>
      <c r="N949" t="s">
        <v>12873</v>
      </c>
      <c r="O949" t="s">
        <v>13995</v>
      </c>
      <c r="P949" t="s">
        <v>13996</v>
      </c>
      <c r="Q949" t="s">
        <v>13997</v>
      </c>
      <c r="R949" t="s">
        <v>74</v>
      </c>
      <c r="S949" t="s">
        <v>13998</v>
      </c>
      <c r="T949" t="s">
        <v>74</v>
      </c>
      <c r="U949" t="s">
        <v>14134</v>
      </c>
      <c r="V949" t="s">
        <v>14135</v>
      </c>
      <c r="W949" t="s">
        <v>14136</v>
      </c>
      <c r="X949" t="s">
        <v>14137</v>
      </c>
      <c r="Y949" t="s">
        <v>14138</v>
      </c>
      <c r="Z949" t="s">
        <v>14139</v>
      </c>
      <c r="AA949" t="s">
        <v>74</v>
      </c>
      <c r="AB949" t="s">
        <v>74</v>
      </c>
      <c r="AC949" t="s">
        <v>14140</v>
      </c>
      <c r="AD949" t="s">
        <v>14141</v>
      </c>
      <c r="AE949" t="s">
        <v>14142</v>
      </c>
      <c r="AF949" t="s">
        <v>74</v>
      </c>
      <c r="AG949">
        <v>23</v>
      </c>
      <c r="AH949">
        <v>4</v>
      </c>
      <c r="AI949">
        <v>4</v>
      </c>
      <c r="AJ949">
        <v>0</v>
      </c>
      <c r="AK949">
        <v>1</v>
      </c>
      <c r="AL949" t="s">
        <v>14001</v>
      </c>
      <c r="AM949" t="s">
        <v>14002</v>
      </c>
      <c r="AN949" t="s">
        <v>14003</v>
      </c>
      <c r="AO949" t="s">
        <v>74</v>
      </c>
      <c r="AP949" t="s">
        <v>74</v>
      </c>
      <c r="AQ949" t="s">
        <v>14004</v>
      </c>
      <c r="AR949" t="s">
        <v>74</v>
      </c>
      <c r="AS949" t="s">
        <v>74</v>
      </c>
      <c r="AT949" t="s">
        <v>74</v>
      </c>
      <c r="AU949">
        <v>2006</v>
      </c>
      <c r="AV949" t="s">
        <v>74</v>
      </c>
      <c r="AW949" t="s">
        <v>74</v>
      </c>
      <c r="AX949" t="s">
        <v>74</v>
      </c>
      <c r="AY949" t="s">
        <v>74</v>
      </c>
      <c r="AZ949" t="s">
        <v>74</v>
      </c>
      <c r="BA949" t="s">
        <v>74</v>
      </c>
      <c r="BB949">
        <v>123</v>
      </c>
      <c r="BC949" t="s">
        <v>7504</v>
      </c>
      <c r="BD949" t="s">
        <v>74</v>
      </c>
      <c r="BE949" t="s">
        <v>14143</v>
      </c>
      <c r="BF949" t="str">
        <f>HYPERLINK("http://dx.doi.org/10.1007/3-540-32934-X_14","http://dx.doi.org/10.1007/3-540-32934-X_14")</f>
        <v>http://dx.doi.org/10.1007/3-540-32934-X_14</v>
      </c>
      <c r="BG949" t="s">
        <v>74</v>
      </c>
      <c r="BH949" t="s">
        <v>74</v>
      </c>
      <c r="BI949">
        <v>2</v>
      </c>
      <c r="BJ949" t="s">
        <v>527</v>
      </c>
      <c r="BK949" t="s">
        <v>12886</v>
      </c>
      <c r="BL949" t="s">
        <v>528</v>
      </c>
      <c r="BM949" t="s">
        <v>14006</v>
      </c>
      <c r="BN949" t="s">
        <v>74</v>
      </c>
      <c r="BO949" t="s">
        <v>74</v>
      </c>
      <c r="BP949" t="s">
        <v>74</v>
      </c>
      <c r="BQ949" t="s">
        <v>74</v>
      </c>
      <c r="BR949" t="s">
        <v>100</v>
      </c>
      <c r="BS949" t="s">
        <v>14144</v>
      </c>
      <c r="BT949" t="str">
        <f>HYPERLINK("https%3A%2F%2Fwww.webofscience.com%2Fwos%2Fwoscc%2Ffull-record%2FWOS:000236632500014","View Full Record in Web of Science")</f>
        <v>View Full Record in Web of Science</v>
      </c>
    </row>
    <row r="950" spans="1:72" x14ac:dyDescent="0.15">
      <c r="A950" t="s">
        <v>12866</v>
      </c>
      <c r="B950" t="s">
        <v>14145</v>
      </c>
      <c r="C950" t="s">
        <v>74</v>
      </c>
      <c r="D950" t="s">
        <v>13992</v>
      </c>
      <c r="E950" t="s">
        <v>74</v>
      </c>
      <c r="F950" t="s">
        <v>14145</v>
      </c>
      <c r="G950" t="s">
        <v>74</v>
      </c>
      <c r="H950" t="s">
        <v>74</v>
      </c>
      <c r="I950" t="s">
        <v>14146</v>
      </c>
      <c r="J950" t="s">
        <v>14016</v>
      </c>
      <c r="K950" t="s">
        <v>74</v>
      </c>
      <c r="L950" t="s">
        <v>74</v>
      </c>
      <c r="M950" t="s">
        <v>78</v>
      </c>
      <c r="N950" t="s">
        <v>12873</v>
      </c>
      <c r="O950" t="s">
        <v>13995</v>
      </c>
      <c r="P950" t="s">
        <v>13996</v>
      </c>
      <c r="Q950" t="s">
        <v>13997</v>
      </c>
      <c r="R950" t="s">
        <v>74</v>
      </c>
      <c r="S950" t="s">
        <v>13998</v>
      </c>
      <c r="T950" t="s">
        <v>74</v>
      </c>
      <c r="U950" t="s">
        <v>14147</v>
      </c>
      <c r="V950" t="s">
        <v>14148</v>
      </c>
      <c r="W950" t="s">
        <v>14149</v>
      </c>
      <c r="X950" t="s">
        <v>14150</v>
      </c>
      <c r="Y950" t="s">
        <v>14151</v>
      </c>
      <c r="Z950" t="s">
        <v>74</v>
      </c>
      <c r="AA950" t="s">
        <v>14152</v>
      </c>
      <c r="AB950" t="s">
        <v>74</v>
      </c>
      <c r="AC950" t="s">
        <v>14153</v>
      </c>
      <c r="AD950" t="s">
        <v>14154</v>
      </c>
      <c r="AE950" t="s">
        <v>14155</v>
      </c>
      <c r="AF950" t="s">
        <v>74</v>
      </c>
      <c r="AG950">
        <v>9</v>
      </c>
      <c r="AH950">
        <v>9</v>
      </c>
      <c r="AI950">
        <v>11</v>
      </c>
      <c r="AJ950">
        <v>1</v>
      </c>
      <c r="AK950">
        <v>10</v>
      </c>
      <c r="AL950" t="s">
        <v>14001</v>
      </c>
      <c r="AM950" t="s">
        <v>14002</v>
      </c>
      <c r="AN950" t="s">
        <v>14003</v>
      </c>
      <c r="AO950" t="s">
        <v>74</v>
      </c>
      <c r="AP950" t="s">
        <v>74</v>
      </c>
      <c r="AQ950" t="s">
        <v>14004</v>
      </c>
      <c r="AR950" t="s">
        <v>74</v>
      </c>
      <c r="AS950" t="s">
        <v>74</v>
      </c>
      <c r="AT950" t="s">
        <v>74</v>
      </c>
      <c r="AU950">
        <v>2006</v>
      </c>
      <c r="AV950" t="s">
        <v>74</v>
      </c>
      <c r="AW950" t="s">
        <v>74</v>
      </c>
      <c r="AX950" t="s">
        <v>74</v>
      </c>
      <c r="AY950" t="s">
        <v>74</v>
      </c>
      <c r="AZ950" t="s">
        <v>74</v>
      </c>
      <c r="BA950" t="s">
        <v>74</v>
      </c>
      <c r="BB950">
        <v>129</v>
      </c>
      <c r="BC950" t="s">
        <v>7504</v>
      </c>
      <c r="BD950" t="s">
        <v>74</v>
      </c>
      <c r="BE950" t="s">
        <v>14156</v>
      </c>
      <c r="BF950" t="str">
        <f>HYPERLINK("http://dx.doi.org/10.1007/3-540-32934-X_15","http://dx.doi.org/10.1007/3-540-32934-X_15")</f>
        <v>http://dx.doi.org/10.1007/3-540-32934-X_15</v>
      </c>
      <c r="BG950" t="s">
        <v>74</v>
      </c>
      <c r="BH950" t="s">
        <v>74</v>
      </c>
      <c r="BI950">
        <v>2</v>
      </c>
      <c r="BJ950" t="s">
        <v>527</v>
      </c>
      <c r="BK950" t="s">
        <v>12886</v>
      </c>
      <c r="BL950" t="s">
        <v>528</v>
      </c>
      <c r="BM950" t="s">
        <v>14006</v>
      </c>
      <c r="BN950" t="s">
        <v>74</v>
      </c>
      <c r="BO950" t="s">
        <v>74</v>
      </c>
      <c r="BP950" t="s">
        <v>74</v>
      </c>
      <c r="BQ950" t="s">
        <v>74</v>
      </c>
      <c r="BR950" t="s">
        <v>100</v>
      </c>
      <c r="BS950" t="s">
        <v>14157</v>
      </c>
      <c r="BT950" t="str">
        <f>HYPERLINK("https%3A%2F%2Fwww.webofscience.com%2Fwos%2Fwoscc%2Ffull-record%2FWOS:000236632500015","View Full Record in Web of Science")</f>
        <v>View Full Record in Web of Science</v>
      </c>
    </row>
    <row r="951" spans="1:72" x14ac:dyDescent="0.15">
      <c r="A951" t="s">
        <v>12866</v>
      </c>
      <c r="B951" t="s">
        <v>14158</v>
      </c>
      <c r="C951" t="s">
        <v>74</v>
      </c>
      <c r="D951" t="s">
        <v>13992</v>
      </c>
      <c r="E951" t="s">
        <v>74</v>
      </c>
      <c r="F951" t="s">
        <v>14158</v>
      </c>
      <c r="G951" t="s">
        <v>74</v>
      </c>
      <c r="H951" t="s">
        <v>74</v>
      </c>
      <c r="I951" t="s">
        <v>14159</v>
      </c>
      <c r="J951" t="s">
        <v>14016</v>
      </c>
      <c r="K951" t="s">
        <v>74</v>
      </c>
      <c r="L951" t="s">
        <v>74</v>
      </c>
      <c r="M951" t="s">
        <v>78</v>
      </c>
      <c r="N951" t="s">
        <v>12873</v>
      </c>
      <c r="O951" t="s">
        <v>13995</v>
      </c>
      <c r="P951" t="s">
        <v>13996</v>
      </c>
      <c r="Q951" t="s">
        <v>13997</v>
      </c>
      <c r="R951" t="s">
        <v>74</v>
      </c>
      <c r="S951" t="s">
        <v>13998</v>
      </c>
      <c r="T951" t="s">
        <v>74</v>
      </c>
      <c r="U951" t="s">
        <v>14160</v>
      </c>
      <c r="V951" t="s">
        <v>14161</v>
      </c>
      <c r="W951" t="s">
        <v>14162</v>
      </c>
      <c r="X951" t="s">
        <v>74</v>
      </c>
      <c r="Y951" t="s">
        <v>14163</v>
      </c>
      <c r="Z951" t="s">
        <v>74</v>
      </c>
      <c r="AA951" t="s">
        <v>14164</v>
      </c>
      <c r="AB951" t="s">
        <v>14165</v>
      </c>
      <c r="AC951" t="s">
        <v>74</v>
      </c>
      <c r="AD951" t="s">
        <v>74</v>
      </c>
      <c r="AE951" t="s">
        <v>74</v>
      </c>
      <c r="AF951" t="s">
        <v>74</v>
      </c>
      <c r="AG951">
        <v>13</v>
      </c>
      <c r="AH951">
        <v>17</v>
      </c>
      <c r="AI951">
        <v>21</v>
      </c>
      <c r="AJ951">
        <v>0</v>
      </c>
      <c r="AK951">
        <v>1</v>
      </c>
      <c r="AL951" t="s">
        <v>14001</v>
      </c>
      <c r="AM951" t="s">
        <v>14002</v>
      </c>
      <c r="AN951" t="s">
        <v>14003</v>
      </c>
      <c r="AO951" t="s">
        <v>74</v>
      </c>
      <c r="AP951" t="s">
        <v>74</v>
      </c>
      <c r="AQ951" t="s">
        <v>14004</v>
      </c>
      <c r="AR951" t="s">
        <v>74</v>
      </c>
      <c r="AS951" t="s">
        <v>74</v>
      </c>
      <c r="AT951" t="s">
        <v>74</v>
      </c>
      <c r="AU951">
        <v>2006</v>
      </c>
      <c r="AV951" t="s">
        <v>74</v>
      </c>
      <c r="AW951" t="s">
        <v>74</v>
      </c>
      <c r="AX951" t="s">
        <v>74</v>
      </c>
      <c r="AY951" t="s">
        <v>74</v>
      </c>
      <c r="AZ951" t="s">
        <v>74</v>
      </c>
      <c r="BA951" t="s">
        <v>74</v>
      </c>
      <c r="BB951">
        <v>135</v>
      </c>
      <c r="BC951" t="s">
        <v>7504</v>
      </c>
      <c r="BD951" t="s">
        <v>74</v>
      </c>
      <c r="BE951" t="s">
        <v>14166</v>
      </c>
      <c r="BF951" t="str">
        <f>HYPERLINK("http://dx.doi.org/10.1007/3-540-32934-X_16","http://dx.doi.org/10.1007/3-540-32934-X_16")</f>
        <v>http://dx.doi.org/10.1007/3-540-32934-X_16</v>
      </c>
      <c r="BG951" t="s">
        <v>74</v>
      </c>
      <c r="BH951" t="s">
        <v>74</v>
      </c>
      <c r="BI951">
        <v>2</v>
      </c>
      <c r="BJ951" t="s">
        <v>527</v>
      </c>
      <c r="BK951" t="s">
        <v>12886</v>
      </c>
      <c r="BL951" t="s">
        <v>528</v>
      </c>
      <c r="BM951" t="s">
        <v>14006</v>
      </c>
      <c r="BN951" t="s">
        <v>74</v>
      </c>
      <c r="BO951" t="s">
        <v>74</v>
      </c>
      <c r="BP951" t="s">
        <v>74</v>
      </c>
      <c r="BQ951" t="s">
        <v>74</v>
      </c>
      <c r="BR951" t="s">
        <v>100</v>
      </c>
      <c r="BS951" t="s">
        <v>14167</v>
      </c>
      <c r="BT951" t="str">
        <f>HYPERLINK("https%3A%2F%2Fwww.webofscience.com%2Fwos%2Fwoscc%2Ffull-record%2FWOS:000236632500016","View Full Record in Web of Science")</f>
        <v>View Full Record in Web of Science</v>
      </c>
    </row>
    <row r="952" spans="1:72" x14ac:dyDescent="0.15">
      <c r="A952" t="s">
        <v>12866</v>
      </c>
      <c r="B952" t="s">
        <v>14168</v>
      </c>
      <c r="C952" t="s">
        <v>74</v>
      </c>
      <c r="D952" t="s">
        <v>13992</v>
      </c>
      <c r="E952" t="s">
        <v>74</v>
      </c>
      <c r="F952" t="s">
        <v>14168</v>
      </c>
      <c r="G952" t="s">
        <v>74</v>
      </c>
      <c r="H952" t="s">
        <v>74</v>
      </c>
      <c r="I952" t="s">
        <v>14169</v>
      </c>
      <c r="J952" t="s">
        <v>14016</v>
      </c>
      <c r="K952" t="s">
        <v>74</v>
      </c>
      <c r="L952" t="s">
        <v>74</v>
      </c>
      <c r="M952" t="s">
        <v>78</v>
      </c>
      <c r="N952" t="s">
        <v>12873</v>
      </c>
      <c r="O952" t="s">
        <v>13995</v>
      </c>
      <c r="P952" t="s">
        <v>13996</v>
      </c>
      <c r="Q952" t="s">
        <v>13997</v>
      </c>
      <c r="R952" t="s">
        <v>74</v>
      </c>
      <c r="S952" t="s">
        <v>13998</v>
      </c>
      <c r="T952" t="s">
        <v>74</v>
      </c>
      <c r="U952" t="s">
        <v>14170</v>
      </c>
      <c r="V952" t="s">
        <v>14171</v>
      </c>
      <c r="W952" t="s">
        <v>14172</v>
      </c>
      <c r="X952" t="s">
        <v>74</v>
      </c>
      <c r="Y952" t="s">
        <v>14173</v>
      </c>
      <c r="Z952" t="s">
        <v>74</v>
      </c>
      <c r="AA952" t="s">
        <v>14174</v>
      </c>
      <c r="AB952" t="s">
        <v>14175</v>
      </c>
      <c r="AC952" t="s">
        <v>74</v>
      </c>
      <c r="AD952" t="s">
        <v>74</v>
      </c>
      <c r="AE952" t="s">
        <v>74</v>
      </c>
      <c r="AF952" t="s">
        <v>74</v>
      </c>
      <c r="AG952">
        <v>22</v>
      </c>
      <c r="AH952">
        <v>7</v>
      </c>
      <c r="AI952">
        <v>9</v>
      </c>
      <c r="AJ952">
        <v>0</v>
      </c>
      <c r="AK952">
        <v>3</v>
      </c>
      <c r="AL952" t="s">
        <v>14001</v>
      </c>
      <c r="AM952" t="s">
        <v>14002</v>
      </c>
      <c r="AN952" t="s">
        <v>14003</v>
      </c>
      <c r="AO952" t="s">
        <v>74</v>
      </c>
      <c r="AP952" t="s">
        <v>74</v>
      </c>
      <c r="AQ952" t="s">
        <v>14004</v>
      </c>
      <c r="AR952" t="s">
        <v>74</v>
      </c>
      <c r="AS952" t="s">
        <v>74</v>
      </c>
      <c r="AT952" t="s">
        <v>74</v>
      </c>
      <c r="AU952">
        <v>2006</v>
      </c>
      <c r="AV952" t="s">
        <v>74</v>
      </c>
      <c r="AW952" t="s">
        <v>74</v>
      </c>
      <c r="AX952" t="s">
        <v>74</v>
      </c>
      <c r="AY952" t="s">
        <v>74</v>
      </c>
      <c r="AZ952" t="s">
        <v>74</v>
      </c>
      <c r="BA952" t="s">
        <v>74</v>
      </c>
      <c r="BB952">
        <v>141</v>
      </c>
      <c r="BC952" t="s">
        <v>7504</v>
      </c>
      <c r="BD952" t="s">
        <v>74</v>
      </c>
      <c r="BE952" t="s">
        <v>14176</v>
      </c>
      <c r="BF952" t="str">
        <f>HYPERLINK("http://dx.doi.org/10.1007/3-540-32934-X_17","http://dx.doi.org/10.1007/3-540-32934-X_17")</f>
        <v>http://dx.doi.org/10.1007/3-540-32934-X_17</v>
      </c>
      <c r="BG952" t="s">
        <v>74</v>
      </c>
      <c r="BH952" t="s">
        <v>74</v>
      </c>
      <c r="BI952">
        <v>3</v>
      </c>
      <c r="BJ952" t="s">
        <v>527</v>
      </c>
      <c r="BK952" t="s">
        <v>12886</v>
      </c>
      <c r="BL952" t="s">
        <v>528</v>
      </c>
      <c r="BM952" t="s">
        <v>14006</v>
      </c>
      <c r="BN952" t="s">
        <v>74</v>
      </c>
      <c r="BO952" t="s">
        <v>74</v>
      </c>
      <c r="BP952" t="s">
        <v>74</v>
      </c>
      <c r="BQ952" t="s">
        <v>74</v>
      </c>
      <c r="BR952" t="s">
        <v>100</v>
      </c>
      <c r="BS952" t="s">
        <v>14177</v>
      </c>
      <c r="BT952" t="str">
        <f>HYPERLINK("https%3A%2F%2Fwww.webofscience.com%2Fwos%2Fwoscc%2Ffull-record%2FWOS:000236632500017","View Full Record in Web of Science")</f>
        <v>View Full Record in Web of Science</v>
      </c>
    </row>
    <row r="953" spans="1:72" x14ac:dyDescent="0.15">
      <c r="A953" t="s">
        <v>12866</v>
      </c>
      <c r="B953" t="s">
        <v>14178</v>
      </c>
      <c r="C953" t="s">
        <v>74</v>
      </c>
      <c r="D953" t="s">
        <v>13992</v>
      </c>
      <c r="E953" t="s">
        <v>74</v>
      </c>
      <c r="F953" t="s">
        <v>14178</v>
      </c>
      <c r="G953" t="s">
        <v>74</v>
      </c>
      <c r="H953" t="s">
        <v>74</v>
      </c>
      <c r="I953" t="s">
        <v>14179</v>
      </c>
      <c r="J953" t="s">
        <v>14016</v>
      </c>
      <c r="K953" t="s">
        <v>74</v>
      </c>
      <c r="L953" t="s">
        <v>74</v>
      </c>
      <c r="M953" t="s">
        <v>78</v>
      </c>
      <c r="N953" t="s">
        <v>12873</v>
      </c>
      <c r="O953" t="s">
        <v>13995</v>
      </c>
      <c r="P953" t="s">
        <v>13996</v>
      </c>
      <c r="Q953" t="s">
        <v>13997</v>
      </c>
      <c r="R953" t="s">
        <v>74</v>
      </c>
      <c r="S953" t="s">
        <v>13998</v>
      </c>
      <c r="T953" t="s">
        <v>74</v>
      </c>
      <c r="U953" t="s">
        <v>74</v>
      </c>
      <c r="V953" t="s">
        <v>14180</v>
      </c>
      <c r="W953" t="s">
        <v>14181</v>
      </c>
      <c r="X953" t="s">
        <v>14182</v>
      </c>
      <c r="Y953" t="s">
        <v>14183</v>
      </c>
      <c r="Z953" t="s">
        <v>14184</v>
      </c>
      <c r="AA953" t="s">
        <v>74</v>
      </c>
      <c r="AB953" t="s">
        <v>74</v>
      </c>
      <c r="AC953" t="s">
        <v>74</v>
      </c>
      <c r="AD953" t="s">
        <v>74</v>
      </c>
      <c r="AE953" t="s">
        <v>74</v>
      </c>
      <c r="AF953" t="s">
        <v>74</v>
      </c>
      <c r="AG953">
        <v>19</v>
      </c>
      <c r="AH953">
        <v>4</v>
      </c>
      <c r="AI953">
        <v>4</v>
      </c>
      <c r="AJ953">
        <v>0</v>
      </c>
      <c r="AK953">
        <v>1</v>
      </c>
      <c r="AL953" t="s">
        <v>14001</v>
      </c>
      <c r="AM953" t="s">
        <v>14002</v>
      </c>
      <c r="AN953" t="s">
        <v>14003</v>
      </c>
      <c r="AO953" t="s">
        <v>74</v>
      </c>
      <c r="AP953" t="s">
        <v>74</v>
      </c>
      <c r="AQ953" t="s">
        <v>14004</v>
      </c>
      <c r="AR953" t="s">
        <v>74</v>
      </c>
      <c r="AS953" t="s">
        <v>74</v>
      </c>
      <c r="AT953" t="s">
        <v>74</v>
      </c>
      <c r="AU953">
        <v>2006</v>
      </c>
      <c r="AV953" t="s">
        <v>74</v>
      </c>
      <c r="AW953" t="s">
        <v>74</v>
      </c>
      <c r="AX953" t="s">
        <v>74</v>
      </c>
      <c r="AY953" t="s">
        <v>74</v>
      </c>
      <c r="AZ953" t="s">
        <v>74</v>
      </c>
      <c r="BA953" t="s">
        <v>74</v>
      </c>
      <c r="BB953">
        <v>147</v>
      </c>
      <c r="BC953" t="s">
        <v>7504</v>
      </c>
      <c r="BD953" t="s">
        <v>74</v>
      </c>
      <c r="BE953" t="s">
        <v>14185</v>
      </c>
      <c r="BF953" t="str">
        <f>HYPERLINK("http://dx.doi.org/10.1007/3-540-32934-X_18","http://dx.doi.org/10.1007/3-540-32934-X_18")</f>
        <v>http://dx.doi.org/10.1007/3-540-32934-X_18</v>
      </c>
      <c r="BG953" t="s">
        <v>74</v>
      </c>
      <c r="BH953" t="s">
        <v>74</v>
      </c>
      <c r="BI953">
        <v>3</v>
      </c>
      <c r="BJ953" t="s">
        <v>527</v>
      </c>
      <c r="BK953" t="s">
        <v>12886</v>
      </c>
      <c r="BL953" t="s">
        <v>528</v>
      </c>
      <c r="BM953" t="s">
        <v>14006</v>
      </c>
      <c r="BN953" t="s">
        <v>74</v>
      </c>
      <c r="BO953" t="s">
        <v>74</v>
      </c>
      <c r="BP953" t="s">
        <v>74</v>
      </c>
      <c r="BQ953" t="s">
        <v>74</v>
      </c>
      <c r="BR953" t="s">
        <v>100</v>
      </c>
      <c r="BS953" t="s">
        <v>14186</v>
      </c>
      <c r="BT953" t="str">
        <f>HYPERLINK("https%3A%2F%2Fwww.webofscience.com%2Fwos%2Fwoscc%2Ffull-record%2FWOS:000236632500018","View Full Record in Web of Science")</f>
        <v>View Full Record in Web of Science</v>
      </c>
    </row>
    <row r="954" spans="1:72" x14ac:dyDescent="0.15">
      <c r="A954" t="s">
        <v>12866</v>
      </c>
      <c r="B954" t="s">
        <v>14187</v>
      </c>
      <c r="C954" t="s">
        <v>74</v>
      </c>
      <c r="D954" t="s">
        <v>13992</v>
      </c>
      <c r="E954" t="s">
        <v>74</v>
      </c>
      <c r="F954" t="s">
        <v>14187</v>
      </c>
      <c r="G954" t="s">
        <v>74</v>
      </c>
      <c r="H954" t="s">
        <v>74</v>
      </c>
      <c r="I954" t="s">
        <v>14188</v>
      </c>
      <c r="J954" t="s">
        <v>14016</v>
      </c>
      <c r="K954" t="s">
        <v>74</v>
      </c>
      <c r="L954" t="s">
        <v>74</v>
      </c>
      <c r="M954" t="s">
        <v>78</v>
      </c>
      <c r="N954" t="s">
        <v>12873</v>
      </c>
      <c r="O954" t="s">
        <v>13995</v>
      </c>
      <c r="P954" t="s">
        <v>13996</v>
      </c>
      <c r="Q954" t="s">
        <v>13997</v>
      </c>
      <c r="R954" t="s">
        <v>74</v>
      </c>
      <c r="S954" t="s">
        <v>13998</v>
      </c>
      <c r="T954" t="s">
        <v>74</v>
      </c>
      <c r="U954" t="s">
        <v>14189</v>
      </c>
      <c r="V954" t="s">
        <v>14190</v>
      </c>
      <c r="W954" t="s">
        <v>14191</v>
      </c>
      <c r="X954" t="s">
        <v>14192</v>
      </c>
      <c r="Y954" t="s">
        <v>14193</v>
      </c>
      <c r="Z954" t="s">
        <v>14194</v>
      </c>
      <c r="AA954" t="s">
        <v>14195</v>
      </c>
      <c r="AB954" t="s">
        <v>14196</v>
      </c>
      <c r="AC954" t="s">
        <v>74</v>
      </c>
      <c r="AD954" t="s">
        <v>74</v>
      </c>
      <c r="AE954" t="s">
        <v>74</v>
      </c>
      <c r="AF954" t="s">
        <v>74</v>
      </c>
      <c r="AG954">
        <v>21</v>
      </c>
      <c r="AH954">
        <v>4</v>
      </c>
      <c r="AI954">
        <v>6</v>
      </c>
      <c r="AJ954">
        <v>0</v>
      </c>
      <c r="AK954">
        <v>2</v>
      </c>
      <c r="AL954" t="s">
        <v>14001</v>
      </c>
      <c r="AM954" t="s">
        <v>14002</v>
      </c>
      <c r="AN954" t="s">
        <v>14003</v>
      </c>
      <c r="AO954" t="s">
        <v>74</v>
      </c>
      <c r="AP954" t="s">
        <v>74</v>
      </c>
      <c r="AQ954" t="s">
        <v>14004</v>
      </c>
      <c r="AR954" t="s">
        <v>74</v>
      </c>
      <c r="AS954" t="s">
        <v>74</v>
      </c>
      <c r="AT954" t="s">
        <v>74</v>
      </c>
      <c r="AU954">
        <v>2006</v>
      </c>
      <c r="AV954" t="s">
        <v>74</v>
      </c>
      <c r="AW954" t="s">
        <v>74</v>
      </c>
      <c r="AX954" t="s">
        <v>74</v>
      </c>
      <c r="AY954" t="s">
        <v>74</v>
      </c>
      <c r="AZ954" t="s">
        <v>74</v>
      </c>
      <c r="BA954" t="s">
        <v>74</v>
      </c>
      <c r="BB954">
        <v>155</v>
      </c>
      <c r="BC954" t="s">
        <v>7504</v>
      </c>
      <c r="BD954" t="s">
        <v>74</v>
      </c>
      <c r="BE954" t="s">
        <v>14197</v>
      </c>
      <c r="BF954" t="str">
        <f>HYPERLINK("http://dx.doi.org/10.1007/3-540-32934-X_19","http://dx.doi.org/10.1007/3-540-32934-X_19")</f>
        <v>http://dx.doi.org/10.1007/3-540-32934-X_19</v>
      </c>
      <c r="BG954" t="s">
        <v>74</v>
      </c>
      <c r="BH954" t="s">
        <v>74</v>
      </c>
      <c r="BI954">
        <v>3</v>
      </c>
      <c r="BJ954" t="s">
        <v>527</v>
      </c>
      <c r="BK954" t="s">
        <v>12886</v>
      </c>
      <c r="BL954" t="s">
        <v>528</v>
      </c>
      <c r="BM954" t="s">
        <v>14006</v>
      </c>
      <c r="BN954" t="s">
        <v>74</v>
      </c>
      <c r="BO954" t="s">
        <v>74</v>
      </c>
      <c r="BP954" t="s">
        <v>74</v>
      </c>
      <c r="BQ954" t="s">
        <v>74</v>
      </c>
      <c r="BR954" t="s">
        <v>100</v>
      </c>
      <c r="BS954" t="s">
        <v>14198</v>
      </c>
      <c r="BT954" t="str">
        <f>HYPERLINK("https%3A%2F%2Fwww.webofscience.com%2Fwos%2Fwoscc%2Ffull-record%2FWOS:000236632500019","View Full Record in Web of Science")</f>
        <v>View Full Record in Web of Science</v>
      </c>
    </row>
    <row r="955" spans="1:72" x14ac:dyDescent="0.15">
      <c r="A955" t="s">
        <v>12866</v>
      </c>
      <c r="B955" t="s">
        <v>14199</v>
      </c>
      <c r="C955" t="s">
        <v>74</v>
      </c>
      <c r="D955" t="s">
        <v>13992</v>
      </c>
      <c r="E955" t="s">
        <v>74</v>
      </c>
      <c r="F955" t="s">
        <v>14199</v>
      </c>
      <c r="G955" t="s">
        <v>74</v>
      </c>
      <c r="H955" t="s">
        <v>74</v>
      </c>
      <c r="I955" t="s">
        <v>14200</v>
      </c>
      <c r="J955" t="s">
        <v>14016</v>
      </c>
      <c r="K955" t="s">
        <v>74</v>
      </c>
      <c r="L955" t="s">
        <v>74</v>
      </c>
      <c r="M955" t="s">
        <v>78</v>
      </c>
      <c r="N955" t="s">
        <v>12873</v>
      </c>
      <c r="O955" t="s">
        <v>13995</v>
      </c>
      <c r="P955" t="s">
        <v>13996</v>
      </c>
      <c r="Q955" t="s">
        <v>13997</v>
      </c>
      <c r="R955" t="s">
        <v>74</v>
      </c>
      <c r="S955" t="s">
        <v>13998</v>
      </c>
      <c r="T955" t="s">
        <v>74</v>
      </c>
      <c r="U955" t="s">
        <v>14201</v>
      </c>
      <c r="V955" t="s">
        <v>14202</v>
      </c>
      <c r="W955" t="s">
        <v>14203</v>
      </c>
      <c r="X955" t="s">
        <v>14204</v>
      </c>
      <c r="Y955" t="s">
        <v>14205</v>
      </c>
      <c r="Z955" t="s">
        <v>74</v>
      </c>
      <c r="AA955" t="s">
        <v>14206</v>
      </c>
      <c r="AB955" t="s">
        <v>14126</v>
      </c>
      <c r="AC955" t="s">
        <v>14207</v>
      </c>
      <c r="AD955" t="s">
        <v>14208</v>
      </c>
      <c r="AE955" t="s">
        <v>14209</v>
      </c>
      <c r="AF955" t="s">
        <v>74</v>
      </c>
      <c r="AG955">
        <v>49</v>
      </c>
      <c r="AH955">
        <v>39</v>
      </c>
      <c r="AI955">
        <v>40</v>
      </c>
      <c r="AJ955">
        <v>0</v>
      </c>
      <c r="AK955">
        <v>5</v>
      </c>
      <c r="AL955" t="s">
        <v>14001</v>
      </c>
      <c r="AM955" t="s">
        <v>14002</v>
      </c>
      <c r="AN955" t="s">
        <v>14003</v>
      </c>
      <c r="AO955" t="s">
        <v>74</v>
      </c>
      <c r="AP955" t="s">
        <v>74</v>
      </c>
      <c r="AQ955" t="s">
        <v>14004</v>
      </c>
      <c r="AR955" t="s">
        <v>74</v>
      </c>
      <c r="AS955" t="s">
        <v>74</v>
      </c>
      <c r="AT955" t="s">
        <v>74</v>
      </c>
      <c r="AU955">
        <v>2006</v>
      </c>
      <c r="AV955" t="s">
        <v>74</v>
      </c>
      <c r="AW955" t="s">
        <v>74</v>
      </c>
      <c r="AX955" t="s">
        <v>74</v>
      </c>
      <c r="AY955" t="s">
        <v>74</v>
      </c>
      <c r="AZ955" t="s">
        <v>74</v>
      </c>
      <c r="BA955" t="s">
        <v>74</v>
      </c>
      <c r="BB955">
        <v>165</v>
      </c>
      <c r="BC955" t="s">
        <v>7504</v>
      </c>
      <c r="BD955" t="s">
        <v>74</v>
      </c>
      <c r="BE955" t="s">
        <v>14210</v>
      </c>
      <c r="BF955" t="str">
        <f>HYPERLINK("http://dx.doi.org/10.1007/3-540-32934-X_20","http://dx.doi.org/10.1007/3-540-32934-X_20")</f>
        <v>http://dx.doi.org/10.1007/3-540-32934-X_20</v>
      </c>
      <c r="BG955" t="s">
        <v>74</v>
      </c>
      <c r="BH955" t="s">
        <v>74</v>
      </c>
      <c r="BI955">
        <v>3</v>
      </c>
      <c r="BJ955" t="s">
        <v>527</v>
      </c>
      <c r="BK955" t="s">
        <v>12886</v>
      </c>
      <c r="BL955" t="s">
        <v>528</v>
      </c>
      <c r="BM955" t="s">
        <v>14006</v>
      </c>
      <c r="BN955" t="s">
        <v>74</v>
      </c>
      <c r="BO955" t="s">
        <v>74</v>
      </c>
      <c r="BP955" t="s">
        <v>74</v>
      </c>
      <c r="BQ955" t="s">
        <v>74</v>
      </c>
      <c r="BR955" t="s">
        <v>100</v>
      </c>
      <c r="BS955" t="s">
        <v>14211</v>
      </c>
      <c r="BT955" t="str">
        <f>HYPERLINK("https%3A%2F%2Fwww.webofscience.com%2Fwos%2Fwoscc%2Ffull-record%2FWOS:000236632500020","View Full Record in Web of Science")</f>
        <v>View Full Record in Web of Science</v>
      </c>
    </row>
    <row r="956" spans="1:72" x14ac:dyDescent="0.15">
      <c r="A956" t="s">
        <v>12866</v>
      </c>
      <c r="B956" t="s">
        <v>14212</v>
      </c>
      <c r="C956" t="s">
        <v>74</v>
      </c>
      <c r="D956" t="s">
        <v>13992</v>
      </c>
      <c r="E956" t="s">
        <v>74</v>
      </c>
      <c r="F956" t="s">
        <v>14212</v>
      </c>
      <c r="G956" t="s">
        <v>74</v>
      </c>
      <c r="H956" t="s">
        <v>74</v>
      </c>
      <c r="I956" t="s">
        <v>14213</v>
      </c>
      <c r="J956" t="s">
        <v>14016</v>
      </c>
      <c r="K956" t="s">
        <v>74</v>
      </c>
      <c r="L956" t="s">
        <v>74</v>
      </c>
      <c r="M956" t="s">
        <v>78</v>
      </c>
      <c r="N956" t="s">
        <v>12873</v>
      </c>
      <c r="O956" t="s">
        <v>13995</v>
      </c>
      <c r="P956" t="s">
        <v>13996</v>
      </c>
      <c r="Q956" t="s">
        <v>13997</v>
      </c>
      <c r="R956" t="s">
        <v>74</v>
      </c>
      <c r="S956" t="s">
        <v>13998</v>
      </c>
      <c r="T956" t="s">
        <v>74</v>
      </c>
      <c r="U956" t="s">
        <v>14214</v>
      </c>
      <c r="V956" t="s">
        <v>14215</v>
      </c>
      <c r="W956" t="s">
        <v>14216</v>
      </c>
      <c r="X956" t="s">
        <v>14217</v>
      </c>
      <c r="Y956" t="s">
        <v>14218</v>
      </c>
      <c r="Z956" t="s">
        <v>14219</v>
      </c>
      <c r="AA956" t="s">
        <v>14220</v>
      </c>
      <c r="AB956" t="s">
        <v>14221</v>
      </c>
      <c r="AC956" t="s">
        <v>14222</v>
      </c>
      <c r="AD956" t="s">
        <v>13822</v>
      </c>
      <c r="AE956" t="s">
        <v>14223</v>
      </c>
      <c r="AF956" t="s">
        <v>74</v>
      </c>
      <c r="AG956">
        <v>39</v>
      </c>
      <c r="AH956">
        <v>7</v>
      </c>
      <c r="AI956">
        <v>7</v>
      </c>
      <c r="AJ956">
        <v>0</v>
      </c>
      <c r="AK956">
        <v>2</v>
      </c>
      <c r="AL956" t="s">
        <v>14001</v>
      </c>
      <c r="AM956" t="s">
        <v>14002</v>
      </c>
      <c r="AN956" t="s">
        <v>14003</v>
      </c>
      <c r="AO956" t="s">
        <v>74</v>
      </c>
      <c r="AP956" t="s">
        <v>74</v>
      </c>
      <c r="AQ956" t="s">
        <v>14004</v>
      </c>
      <c r="AR956" t="s">
        <v>74</v>
      </c>
      <c r="AS956" t="s">
        <v>74</v>
      </c>
      <c r="AT956" t="s">
        <v>74</v>
      </c>
      <c r="AU956">
        <v>2006</v>
      </c>
      <c r="AV956" t="s">
        <v>74</v>
      </c>
      <c r="AW956" t="s">
        <v>74</v>
      </c>
      <c r="AX956" t="s">
        <v>74</v>
      </c>
      <c r="AY956" t="s">
        <v>74</v>
      </c>
      <c r="AZ956" t="s">
        <v>74</v>
      </c>
      <c r="BA956" t="s">
        <v>74</v>
      </c>
      <c r="BB956">
        <v>175</v>
      </c>
      <c r="BC956" t="s">
        <v>7504</v>
      </c>
      <c r="BD956" t="s">
        <v>74</v>
      </c>
      <c r="BE956" t="s">
        <v>14224</v>
      </c>
      <c r="BF956" t="str">
        <f>HYPERLINK("http://dx.doi.org/10.1007/3-540-32934-X_21","http://dx.doi.org/10.1007/3-540-32934-X_21")</f>
        <v>http://dx.doi.org/10.1007/3-540-32934-X_21</v>
      </c>
      <c r="BG956" t="s">
        <v>74</v>
      </c>
      <c r="BH956" t="s">
        <v>74</v>
      </c>
      <c r="BI956">
        <v>3</v>
      </c>
      <c r="BJ956" t="s">
        <v>527</v>
      </c>
      <c r="BK956" t="s">
        <v>12886</v>
      </c>
      <c r="BL956" t="s">
        <v>528</v>
      </c>
      <c r="BM956" t="s">
        <v>14006</v>
      </c>
      <c r="BN956" t="s">
        <v>74</v>
      </c>
      <c r="BO956" t="s">
        <v>74</v>
      </c>
      <c r="BP956" t="s">
        <v>74</v>
      </c>
      <c r="BQ956" t="s">
        <v>74</v>
      </c>
      <c r="BR956" t="s">
        <v>100</v>
      </c>
      <c r="BS956" t="s">
        <v>14225</v>
      </c>
      <c r="BT956" t="str">
        <f>HYPERLINK("https%3A%2F%2Fwww.webofscience.com%2Fwos%2Fwoscc%2Ffull-record%2FWOS:000236632500021","View Full Record in Web of Science")</f>
        <v>View Full Record in Web of Science</v>
      </c>
    </row>
    <row r="957" spans="1:72" x14ac:dyDescent="0.15">
      <c r="A957" t="s">
        <v>12866</v>
      </c>
      <c r="B957" t="s">
        <v>14226</v>
      </c>
      <c r="C957" t="s">
        <v>74</v>
      </c>
      <c r="D957" t="s">
        <v>13992</v>
      </c>
      <c r="E957" t="s">
        <v>74</v>
      </c>
      <c r="F957" t="s">
        <v>14226</v>
      </c>
      <c r="G957" t="s">
        <v>74</v>
      </c>
      <c r="H957" t="s">
        <v>74</v>
      </c>
      <c r="I957" t="s">
        <v>14227</v>
      </c>
      <c r="J957" t="s">
        <v>14016</v>
      </c>
      <c r="K957" t="s">
        <v>74</v>
      </c>
      <c r="L957" t="s">
        <v>74</v>
      </c>
      <c r="M957" t="s">
        <v>78</v>
      </c>
      <c r="N957" t="s">
        <v>12873</v>
      </c>
      <c r="O957" t="s">
        <v>13995</v>
      </c>
      <c r="P957" t="s">
        <v>13996</v>
      </c>
      <c r="Q957" t="s">
        <v>13997</v>
      </c>
      <c r="R957" t="s">
        <v>74</v>
      </c>
      <c r="S957" t="s">
        <v>13998</v>
      </c>
      <c r="T957" t="s">
        <v>74</v>
      </c>
      <c r="U957" t="s">
        <v>14228</v>
      </c>
      <c r="V957" t="s">
        <v>14229</v>
      </c>
      <c r="W957" t="s">
        <v>14230</v>
      </c>
      <c r="X957" t="s">
        <v>14231</v>
      </c>
      <c r="Y957" t="s">
        <v>14232</v>
      </c>
      <c r="Z957" t="s">
        <v>74</v>
      </c>
      <c r="AA957" t="s">
        <v>74</v>
      </c>
      <c r="AB957" t="s">
        <v>74</v>
      </c>
      <c r="AC957" t="s">
        <v>14233</v>
      </c>
      <c r="AD957" t="s">
        <v>14234</v>
      </c>
      <c r="AE957" t="s">
        <v>14235</v>
      </c>
      <c r="AF957" t="s">
        <v>74</v>
      </c>
      <c r="AG957">
        <v>65</v>
      </c>
      <c r="AH957">
        <v>34</v>
      </c>
      <c r="AI957">
        <v>38</v>
      </c>
      <c r="AJ957">
        <v>0</v>
      </c>
      <c r="AK957">
        <v>0</v>
      </c>
      <c r="AL957" t="s">
        <v>14001</v>
      </c>
      <c r="AM957" t="s">
        <v>14002</v>
      </c>
      <c r="AN957" t="s">
        <v>14003</v>
      </c>
      <c r="AO957" t="s">
        <v>74</v>
      </c>
      <c r="AP957" t="s">
        <v>74</v>
      </c>
      <c r="AQ957" t="s">
        <v>14004</v>
      </c>
      <c r="AR957" t="s">
        <v>74</v>
      </c>
      <c r="AS957" t="s">
        <v>74</v>
      </c>
      <c r="AT957" t="s">
        <v>74</v>
      </c>
      <c r="AU957">
        <v>2006</v>
      </c>
      <c r="AV957" t="s">
        <v>74</v>
      </c>
      <c r="AW957" t="s">
        <v>74</v>
      </c>
      <c r="AX957" t="s">
        <v>74</v>
      </c>
      <c r="AY957" t="s">
        <v>74</v>
      </c>
      <c r="AZ957" t="s">
        <v>74</v>
      </c>
      <c r="BA957" t="s">
        <v>74</v>
      </c>
      <c r="BB957">
        <v>181</v>
      </c>
      <c r="BC957" t="s">
        <v>7504</v>
      </c>
      <c r="BD957" t="s">
        <v>74</v>
      </c>
      <c r="BE957" t="s">
        <v>14236</v>
      </c>
      <c r="BF957" t="str">
        <f>HYPERLINK("http://dx.doi.org/10.1007/3-540-32934-X_22","http://dx.doi.org/10.1007/3-540-32934-X_22")</f>
        <v>http://dx.doi.org/10.1007/3-540-32934-X_22</v>
      </c>
      <c r="BG957" t="s">
        <v>74</v>
      </c>
      <c r="BH957" t="s">
        <v>74</v>
      </c>
      <c r="BI957">
        <v>4</v>
      </c>
      <c r="BJ957" t="s">
        <v>527</v>
      </c>
      <c r="BK957" t="s">
        <v>12886</v>
      </c>
      <c r="BL957" t="s">
        <v>528</v>
      </c>
      <c r="BM957" t="s">
        <v>14006</v>
      </c>
      <c r="BN957" t="s">
        <v>74</v>
      </c>
      <c r="BO957" t="s">
        <v>147</v>
      </c>
      <c r="BP957" t="s">
        <v>74</v>
      </c>
      <c r="BQ957" t="s">
        <v>74</v>
      </c>
      <c r="BR957" t="s">
        <v>100</v>
      </c>
      <c r="BS957" t="s">
        <v>14237</v>
      </c>
      <c r="BT957" t="str">
        <f>HYPERLINK("https%3A%2F%2Fwww.webofscience.com%2Fwos%2Fwoscc%2Ffull-record%2FWOS:000236632500022","View Full Record in Web of Science")</f>
        <v>View Full Record in Web of Science</v>
      </c>
    </row>
    <row r="958" spans="1:72" x14ac:dyDescent="0.15">
      <c r="A958" t="s">
        <v>12866</v>
      </c>
      <c r="B958" t="s">
        <v>14238</v>
      </c>
      <c r="C958" t="s">
        <v>74</v>
      </c>
      <c r="D958" t="s">
        <v>13992</v>
      </c>
      <c r="E958" t="s">
        <v>74</v>
      </c>
      <c r="F958" t="s">
        <v>14238</v>
      </c>
      <c r="G958" t="s">
        <v>74</v>
      </c>
      <c r="H958" t="s">
        <v>74</v>
      </c>
      <c r="I958" t="s">
        <v>14239</v>
      </c>
      <c r="J958" t="s">
        <v>14016</v>
      </c>
      <c r="K958" t="s">
        <v>74</v>
      </c>
      <c r="L958" t="s">
        <v>74</v>
      </c>
      <c r="M958" t="s">
        <v>78</v>
      </c>
      <c r="N958" t="s">
        <v>12873</v>
      </c>
      <c r="O958" t="s">
        <v>13995</v>
      </c>
      <c r="P958" t="s">
        <v>13996</v>
      </c>
      <c r="Q958" t="s">
        <v>13997</v>
      </c>
      <c r="R958" t="s">
        <v>74</v>
      </c>
      <c r="S958" t="s">
        <v>13998</v>
      </c>
      <c r="T958" t="s">
        <v>74</v>
      </c>
      <c r="U958" t="s">
        <v>14240</v>
      </c>
      <c r="V958" t="s">
        <v>14241</v>
      </c>
      <c r="W958" t="s">
        <v>14242</v>
      </c>
      <c r="X958" t="s">
        <v>14243</v>
      </c>
      <c r="Y958" t="s">
        <v>14244</v>
      </c>
      <c r="Z958" t="s">
        <v>74</v>
      </c>
      <c r="AA958" t="s">
        <v>74</v>
      </c>
      <c r="AB958" t="s">
        <v>74</v>
      </c>
      <c r="AC958" t="s">
        <v>14245</v>
      </c>
      <c r="AD958" t="s">
        <v>14246</v>
      </c>
      <c r="AE958" t="s">
        <v>14247</v>
      </c>
      <c r="AF958" t="s">
        <v>74</v>
      </c>
      <c r="AG958">
        <v>11</v>
      </c>
      <c r="AH958">
        <v>4</v>
      </c>
      <c r="AI958">
        <v>4</v>
      </c>
      <c r="AJ958">
        <v>0</v>
      </c>
      <c r="AK958">
        <v>1</v>
      </c>
      <c r="AL958" t="s">
        <v>14001</v>
      </c>
      <c r="AM958" t="s">
        <v>14002</v>
      </c>
      <c r="AN958" t="s">
        <v>14003</v>
      </c>
      <c r="AO958" t="s">
        <v>74</v>
      </c>
      <c r="AP958" t="s">
        <v>74</v>
      </c>
      <c r="AQ958" t="s">
        <v>14004</v>
      </c>
      <c r="AR958" t="s">
        <v>74</v>
      </c>
      <c r="AS958" t="s">
        <v>74</v>
      </c>
      <c r="AT958" t="s">
        <v>74</v>
      </c>
      <c r="AU958">
        <v>2006</v>
      </c>
      <c r="AV958" t="s">
        <v>74</v>
      </c>
      <c r="AW958" t="s">
        <v>74</v>
      </c>
      <c r="AX958" t="s">
        <v>74</v>
      </c>
      <c r="AY958" t="s">
        <v>74</v>
      </c>
      <c r="AZ958" t="s">
        <v>74</v>
      </c>
      <c r="BA958" t="s">
        <v>74</v>
      </c>
      <c r="BB958">
        <v>191</v>
      </c>
      <c r="BC958" t="s">
        <v>7504</v>
      </c>
      <c r="BD958" t="s">
        <v>74</v>
      </c>
      <c r="BE958" t="s">
        <v>14248</v>
      </c>
      <c r="BF958" t="str">
        <f>HYPERLINK("http://dx.doi.org/10.1007/3-540-32934-X_23","http://dx.doi.org/10.1007/3-540-32934-X_23")</f>
        <v>http://dx.doi.org/10.1007/3-540-32934-X_23</v>
      </c>
      <c r="BG958" t="s">
        <v>74</v>
      </c>
      <c r="BH958" t="s">
        <v>74</v>
      </c>
      <c r="BI958">
        <v>3</v>
      </c>
      <c r="BJ958" t="s">
        <v>527</v>
      </c>
      <c r="BK958" t="s">
        <v>12886</v>
      </c>
      <c r="BL958" t="s">
        <v>528</v>
      </c>
      <c r="BM958" t="s">
        <v>14006</v>
      </c>
      <c r="BN958" t="s">
        <v>74</v>
      </c>
      <c r="BO958" t="s">
        <v>74</v>
      </c>
      <c r="BP958" t="s">
        <v>74</v>
      </c>
      <c r="BQ958" t="s">
        <v>74</v>
      </c>
      <c r="BR958" t="s">
        <v>100</v>
      </c>
      <c r="BS958" t="s">
        <v>14249</v>
      </c>
      <c r="BT958" t="str">
        <f>HYPERLINK("https%3A%2F%2Fwww.webofscience.com%2Fwos%2Fwoscc%2Ffull-record%2FWOS:000236632500023","View Full Record in Web of Science")</f>
        <v>View Full Record in Web of Science</v>
      </c>
    </row>
    <row r="959" spans="1:72" x14ac:dyDescent="0.15">
      <c r="A959" t="s">
        <v>12866</v>
      </c>
      <c r="B959" t="s">
        <v>14250</v>
      </c>
      <c r="C959" t="s">
        <v>74</v>
      </c>
      <c r="D959" t="s">
        <v>13992</v>
      </c>
      <c r="E959" t="s">
        <v>74</v>
      </c>
      <c r="F959" t="s">
        <v>14250</v>
      </c>
      <c r="G959" t="s">
        <v>74</v>
      </c>
      <c r="H959" t="s">
        <v>74</v>
      </c>
      <c r="I959" t="s">
        <v>14251</v>
      </c>
      <c r="J959" t="s">
        <v>14016</v>
      </c>
      <c r="K959" t="s">
        <v>74</v>
      </c>
      <c r="L959" t="s">
        <v>74</v>
      </c>
      <c r="M959" t="s">
        <v>78</v>
      </c>
      <c r="N959" t="s">
        <v>12873</v>
      </c>
      <c r="O959" t="s">
        <v>13995</v>
      </c>
      <c r="P959" t="s">
        <v>13996</v>
      </c>
      <c r="Q959" t="s">
        <v>13997</v>
      </c>
      <c r="R959" t="s">
        <v>74</v>
      </c>
      <c r="S959" t="s">
        <v>13998</v>
      </c>
      <c r="T959" t="s">
        <v>74</v>
      </c>
      <c r="U959" t="s">
        <v>14252</v>
      </c>
      <c r="V959" t="s">
        <v>14253</v>
      </c>
      <c r="W959" t="s">
        <v>14254</v>
      </c>
      <c r="X959" t="s">
        <v>14255</v>
      </c>
      <c r="Y959" t="s">
        <v>14256</v>
      </c>
      <c r="Z959" t="s">
        <v>14257</v>
      </c>
      <c r="AA959" t="s">
        <v>14220</v>
      </c>
      <c r="AB959" t="s">
        <v>14221</v>
      </c>
      <c r="AC959" t="s">
        <v>14258</v>
      </c>
      <c r="AD959" t="s">
        <v>14259</v>
      </c>
      <c r="AE959" t="s">
        <v>14260</v>
      </c>
      <c r="AF959" t="s">
        <v>74</v>
      </c>
      <c r="AG959">
        <v>34</v>
      </c>
      <c r="AH959">
        <v>6</v>
      </c>
      <c r="AI959">
        <v>6</v>
      </c>
      <c r="AJ959">
        <v>0</v>
      </c>
      <c r="AK959">
        <v>2</v>
      </c>
      <c r="AL959" t="s">
        <v>14001</v>
      </c>
      <c r="AM959" t="s">
        <v>14002</v>
      </c>
      <c r="AN959" t="s">
        <v>14003</v>
      </c>
      <c r="AO959" t="s">
        <v>74</v>
      </c>
      <c r="AP959" t="s">
        <v>74</v>
      </c>
      <c r="AQ959" t="s">
        <v>14004</v>
      </c>
      <c r="AR959" t="s">
        <v>74</v>
      </c>
      <c r="AS959" t="s">
        <v>74</v>
      </c>
      <c r="AT959" t="s">
        <v>74</v>
      </c>
      <c r="AU959">
        <v>2006</v>
      </c>
      <c r="AV959" t="s">
        <v>74</v>
      </c>
      <c r="AW959" t="s">
        <v>74</v>
      </c>
      <c r="AX959" t="s">
        <v>74</v>
      </c>
      <c r="AY959" t="s">
        <v>74</v>
      </c>
      <c r="AZ959" t="s">
        <v>74</v>
      </c>
      <c r="BA959" t="s">
        <v>74</v>
      </c>
      <c r="BB959">
        <v>195</v>
      </c>
      <c r="BC959" t="s">
        <v>7504</v>
      </c>
      <c r="BD959" t="s">
        <v>74</v>
      </c>
      <c r="BE959" t="s">
        <v>14261</v>
      </c>
      <c r="BF959" t="str">
        <f>HYPERLINK("http://dx.doi.org/10.1007/3-540-32934-X_24","http://dx.doi.org/10.1007/3-540-32934-X_24")</f>
        <v>http://dx.doi.org/10.1007/3-540-32934-X_24</v>
      </c>
      <c r="BG959" t="s">
        <v>74</v>
      </c>
      <c r="BH959" t="s">
        <v>74</v>
      </c>
      <c r="BI959">
        <v>3</v>
      </c>
      <c r="BJ959" t="s">
        <v>527</v>
      </c>
      <c r="BK959" t="s">
        <v>12886</v>
      </c>
      <c r="BL959" t="s">
        <v>528</v>
      </c>
      <c r="BM959" t="s">
        <v>14006</v>
      </c>
      <c r="BN959" t="s">
        <v>74</v>
      </c>
      <c r="BO959" t="s">
        <v>74</v>
      </c>
      <c r="BP959" t="s">
        <v>74</v>
      </c>
      <c r="BQ959" t="s">
        <v>74</v>
      </c>
      <c r="BR959" t="s">
        <v>100</v>
      </c>
      <c r="BS959" t="s">
        <v>14262</v>
      </c>
      <c r="BT959" t="str">
        <f>HYPERLINK("https%3A%2F%2Fwww.webofscience.com%2Fwos%2Fwoscc%2Ffull-record%2FWOS:000236632500024","View Full Record in Web of Science")</f>
        <v>View Full Record in Web of Science</v>
      </c>
    </row>
    <row r="960" spans="1:72" x14ac:dyDescent="0.15">
      <c r="A960" t="s">
        <v>12866</v>
      </c>
      <c r="B960" t="s">
        <v>14263</v>
      </c>
      <c r="C960" t="s">
        <v>74</v>
      </c>
      <c r="D960" t="s">
        <v>13992</v>
      </c>
      <c r="E960" t="s">
        <v>74</v>
      </c>
      <c r="F960" t="s">
        <v>14263</v>
      </c>
      <c r="G960" t="s">
        <v>74</v>
      </c>
      <c r="H960" t="s">
        <v>74</v>
      </c>
      <c r="I960" t="s">
        <v>14264</v>
      </c>
      <c r="J960" t="s">
        <v>13994</v>
      </c>
      <c r="K960" t="s">
        <v>74</v>
      </c>
      <c r="L960" t="s">
        <v>74</v>
      </c>
      <c r="M960" t="s">
        <v>78</v>
      </c>
      <c r="N960" t="s">
        <v>12873</v>
      </c>
      <c r="O960" t="s">
        <v>13995</v>
      </c>
      <c r="P960" t="s">
        <v>13996</v>
      </c>
      <c r="Q960" t="s">
        <v>13997</v>
      </c>
      <c r="R960" t="s">
        <v>74</v>
      </c>
      <c r="S960" t="s">
        <v>13998</v>
      </c>
      <c r="T960" t="s">
        <v>74</v>
      </c>
      <c r="U960" t="s">
        <v>74</v>
      </c>
      <c r="V960" t="s">
        <v>14265</v>
      </c>
      <c r="W960" t="s">
        <v>3849</v>
      </c>
      <c r="X960" t="s">
        <v>3850</v>
      </c>
      <c r="Y960" t="s">
        <v>14266</v>
      </c>
      <c r="Z960" t="s">
        <v>74</v>
      </c>
      <c r="AA960" t="s">
        <v>74</v>
      </c>
      <c r="AB960" t="s">
        <v>74</v>
      </c>
      <c r="AC960" t="s">
        <v>74</v>
      </c>
      <c r="AD960" t="s">
        <v>74</v>
      </c>
      <c r="AE960" t="s">
        <v>74</v>
      </c>
      <c r="AF960" t="s">
        <v>74</v>
      </c>
      <c r="AG960">
        <v>18</v>
      </c>
      <c r="AH960">
        <v>8</v>
      </c>
      <c r="AI960">
        <v>9</v>
      </c>
      <c r="AJ960">
        <v>0</v>
      </c>
      <c r="AK960">
        <v>2</v>
      </c>
      <c r="AL960" t="s">
        <v>14001</v>
      </c>
      <c r="AM960" t="s">
        <v>14002</v>
      </c>
      <c r="AN960" t="s">
        <v>14003</v>
      </c>
      <c r="AO960" t="s">
        <v>74</v>
      </c>
      <c r="AP960" t="s">
        <v>74</v>
      </c>
      <c r="AQ960" t="s">
        <v>14004</v>
      </c>
      <c r="AR960" t="s">
        <v>74</v>
      </c>
      <c r="AS960" t="s">
        <v>74</v>
      </c>
      <c r="AT960" t="s">
        <v>74</v>
      </c>
      <c r="AU960">
        <v>2006</v>
      </c>
      <c r="AV960" t="s">
        <v>74</v>
      </c>
      <c r="AW960" t="s">
        <v>74</v>
      </c>
      <c r="AX960" t="s">
        <v>74</v>
      </c>
      <c r="AY960" t="s">
        <v>74</v>
      </c>
      <c r="AZ960" t="s">
        <v>74</v>
      </c>
      <c r="BA960" t="s">
        <v>74</v>
      </c>
      <c r="BB960">
        <v>205</v>
      </c>
      <c r="BC960">
        <v>213</v>
      </c>
      <c r="BD960" t="s">
        <v>74</v>
      </c>
      <c r="BE960" t="s">
        <v>14267</v>
      </c>
      <c r="BF960" t="str">
        <f>HYPERLINK("http://dx.doi.org/10.1007/3-540-32934-X_25","http://dx.doi.org/10.1007/3-540-32934-X_25")</f>
        <v>http://dx.doi.org/10.1007/3-540-32934-X_25</v>
      </c>
      <c r="BG960" t="s">
        <v>74</v>
      </c>
      <c r="BH960" t="s">
        <v>74</v>
      </c>
      <c r="BI960">
        <v>9</v>
      </c>
      <c r="BJ960" t="s">
        <v>527</v>
      </c>
      <c r="BK960" t="s">
        <v>12886</v>
      </c>
      <c r="BL960" t="s">
        <v>528</v>
      </c>
      <c r="BM960" t="s">
        <v>14006</v>
      </c>
      <c r="BN960" t="s">
        <v>74</v>
      </c>
      <c r="BO960" t="s">
        <v>147</v>
      </c>
      <c r="BP960" t="s">
        <v>74</v>
      </c>
      <c r="BQ960" t="s">
        <v>74</v>
      </c>
      <c r="BR960" t="s">
        <v>100</v>
      </c>
      <c r="BS960" t="s">
        <v>14268</v>
      </c>
      <c r="BT960" t="str">
        <f>HYPERLINK("https%3A%2F%2Fwww.webofscience.com%2Fwos%2Fwoscc%2Ffull-record%2FWOS:000236632500025","View Full Record in Web of Science")</f>
        <v>View Full Record in Web of Science</v>
      </c>
    </row>
    <row r="961" spans="1:72" x14ac:dyDescent="0.15">
      <c r="A961" t="s">
        <v>12866</v>
      </c>
      <c r="B961" t="s">
        <v>14269</v>
      </c>
      <c r="C961" t="s">
        <v>74</v>
      </c>
      <c r="D961" t="s">
        <v>13992</v>
      </c>
      <c r="E961" t="s">
        <v>74</v>
      </c>
      <c r="F961" t="s">
        <v>14269</v>
      </c>
      <c r="G961" t="s">
        <v>74</v>
      </c>
      <c r="H961" t="s">
        <v>74</v>
      </c>
      <c r="I961" t="s">
        <v>14270</v>
      </c>
      <c r="J961" t="s">
        <v>14016</v>
      </c>
      <c r="K961" t="s">
        <v>74</v>
      </c>
      <c r="L961" t="s">
        <v>74</v>
      </c>
      <c r="M961" t="s">
        <v>78</v>
      </c>
      <c r="N961" t="s">
        <v>12873</v>
      </c>
      <c r="O961" t="s">
        <v>13995</v>
      </c>
      <c r="P961" t="s">
        <v>13996</v>
      </c>
      <c r="Q961" t="s">
        <v>13997</v>
      </c>
      <c r="R961" t="s">
        <v>74</v>
      </c>
      <c r="S961" t="s">
        <v>13998</v>
      </c>
      <c r="T961" t="s">
        <v>74</v>
      </c>
      <c r="U961" t="s">
        <v>14271</v>
      </c>
      <c r="V961" t="s">
        <v>14272</v>
      </c>
      <c r="W961" t="s">
        <v>14273</v>
      </c>
      <c r="X961" t="s">
        <v>14274</v>
      </c>
      <c r="Y961" t="s">
        <v>14275</v>
      </c>
      <c r="Z961" t="s">
        <v>14276</v>
      </c>
      <c r="AA961" t="s">
        <v>3714</v>
      </c>
      <c r="AB961" t="s">
        <v>14277</v>
      </c>
      <c r="AC961" t="s">
        <v>14278</v>
      </c>
      <c r="AD961" t="s">
        <v>14279</v>
      </c>
      <c r="AE961" t="s">
        <v>14280</v>
      </c>
      <c r="AF961" t="s">
        <v>74</v>
      </c>
      <c r="AG961">
        <v>86</v>
      </c>
      <c r="AH961">
        <v>48</v>
      </c>
      <c r="AI961">
        <v>52</v>
      </c>
      <c r="AJ961">
        <v>0</v>
      </c>
      <c r="AK961">
        <v>1</v>
      </c>
      <c r="AL961" t="s">
        <v>14001</v>
      </c>
      <c r="AM961" t="s">
        <v>14002</v>
      </c>
      <c r="AN961" t="s">
        <v>14003</v>
      </c>
      <c r="AO961" t="s">
        <v>74</v>
      </c>
      <c r="AP961" t="s">
        <v>74</v>
      </c>
      <c r="AQ961" t="s">
        <v>14004</v>
      </c>
      <c r="AR961" t="s">
        <v>74</v>
      </c>
      <c r="AS961" t="s">
        <v>74</v>
      </c>
      <c r="AT961" t="s">
        <v>74</v>
      </c>
      <c r="AU961">
        <v>2006</v>
      </c>
      <c r="AV961" t="s">
        <v>74</v>
      </c>
      <c r="AW961" t="s">
        <v>74</v>
      </c>
      <c r="AX961" t="s">
        <v>74</v>
      </c>
      <c r="AY961" t="s">
        <v>74</v>
      </c>
      <c r="AZ961" t="s">
        <v>74</v>
      </c>
      <c r="BA961" t="s">
        <v>74</v>
      </c>
      <c r="BB961">
        <v>217</v>
      </c>
      <c r="BC961" t="s">
        <v>7504</v>
      </c>
      <c r="BD961" t="s">
        <v>74</v>
      </c>
      <c r="BE961" t="s">
        <v>14281</v>
      </c>
      <c r="BF961" t="str">
        <f>HYPERLINK("http://dx.doi.org/10.1007/3-540-32934-X_26","http://dx.doi.org/10.1007/3-540-32934-X_26")</f>
        <v>http://dx.doi.org/10.1007/3-540-32934-X_26</v>
      </c>
      <c r="BG961" t="s">
        <v>74</v>
      </c>
      <c r="BH961" t="s">
        <v>74</v>
      </c>
      <c r="BI961">
        <v>4</v>
      </c>
      <c r="BJ961" t="s">
        <v>527</v>
      </c>
      <c r="BK961" t="s">
        <v>12886</v>
      </c>
      <c r="BL961" t="s">
        <v>528</v>
      </c>
      <c r="BM961" t="s">
        <v>14006</v>
      </c>
      <c r="BN961" t="s">
        <v>74</v>
      </c>
      <c r="BO961" t="s">
        <v>74</v>
      </c>
      <c r="BP961" t="s">
        <v>74</v>
      </c>
      <c r="BQ961" t="s">
        <v>74</v>
      </c>
      <c r="BR961" t="s">
        <v>100</v>
      </c>
      <c r="BS961" t="s">
        <v>14282</v>
      </c>
      <c r="BT961" t="str">
        <f>HYPERLINK("https%3A%2F%2Fwww.webofscience.com%2Fwos%2Fwoscc%2Ffull-record%2FWOS:000236632500026","View Full Record in Web of Science")</f>
        <v>View Full Record in Web of Science</v>
      </c>
    </row>
    <row r="962" spans="1:72" x14ac:dyDescent="0.15">
      <c r="A962" t="s">
        <v>12866</v>
      </c>
      <c r="B962" t="s">
        <v>14283</v>
      </c>
      <c r="C962" t="s">
        <v>74</v>
      </c>
      <c r="D962" t="s">
        <v>13992</v>
      </c>
      <c r="E962" t="s">
        <v>74</v>
      </c>
      <c r="F962" t="s">
        <v>14283</v>
      </c>
      <c r="G962" t="s">
        <v>74</v>
      </c>
      <c r="H962" t="s">
        <v>74</v>
      </c>
      <c r="I962" t="s">
        <v>14284</v>
      </c>
      <c r="J962" t="s">
        <v>14016</v>
      </c>
      <c r="K962" t="s">
        <v>74</v>
      </c>
      <c r="L962" t="s">
        <v>74</v>
      </c>
      <c r="M962" t="s">
        <v>78</v>
      </c>
      <c r="N962" t="s">
        <v>12873</v>
      </c>
      <c r="O962" t="s">
        <v>13995</v>
      </c>
      <c r="P962" t="s">
        <v>13996</v>
      </c>
      <c r="Q962" t="s">
        <v>13997</v>
      </c>
      <c r="R962" t="s">
        <v>74</v>
      </c>
      <c r="S962" t="s">
        <v>13998</v>
      </c>
      <c r="T962" t="s">
        <v>74</v>
      </c>
      <c r="U962" t="s">
        <v>14285</v>
      </c>
      <c r="V962" t="s">
        <v>14286</v>
      </c>
      <c r="W962" t="s">
        <v>14287</v>
      </c>
      <c r="X962" t="s">
        <v>14288</v>
      </c>
      <c r="Y962" t="s">
        <v>14289</v>
      </c>
      <c r="Z962" t="s">
        <v>14290</v>
      </c>
      <c r="AA962" t="s">
        <v>74</v>
      </c>
      <c r="AB962" t="s">
        <v>74</v>
      </c>
      <c r="AC962" t="s">
        <v>74</v>
      </c>
      <c r="AD962" t="s">
        <v>74</v>
      </c>
      <c r="AE962" t="s">
        <v>74</v>
      </c>
      <c r="AF962" t="s">
        <v>74</v>
      </c>
      <c r="AG962">
        <v>35</v>
      </c>
      <c r="AH962">
        <v>18</v>
      </c>
      <c r="AI962">
        <v>19</v>
      </c>
      <c r="AJ962">
        <v>0</v>
      </c>
      <c r="AK962">
        <v>1</v>
      </c>
      <c r="AL962" t="s">
        <v>14001</v>
      </c>
      <c r="AM962" t="s">
        <v>14002</v>
      </c>
      <c r="AN962" t="s">
        <v>14003</v>
      </c>
      <c r="AO962" t="s">
        <v>74</v>
      </c>
      <c r="AP962" t="s">
        <v>74</v>
      </c>
      <c r="AQ962" t="s">
        <v>14004</v>
      </c>
      <c r="AR962" t="s">
        <v>74</v>
      </c>
      <c r="AS962" t="s">
        <v>74</v>
      </c>
      <c r="AT962" t="s">
        <v>74</v>
      </c>
      <c r="AU962">
        <v>2006</v>
      </c>
      <c r="AV962" t="s">
        <v>74</v>
      </c>
      <c r="AW962" t="s">
        <v>74</v>
      </c>
      <c r="AX962" t="s">
        <v>74</v>
      </c>
      <c r="AY962" t="s">
        <v>74</v>
      </c>
      <c r="AZ962" t="s">
        <v>74</v>
      </c>
      <c r="BA962" t="s">
        <v>74</v>
      </c>
      <c r="BB962">
        <v>229</v>
      </c>
      <c r="BC962" t="s">
        <v>7504</v>
      </c>
      <c r="BD962" t="s">
        <v>74</v>
      </c>
      <c r="BE962" t="s">
        <v>14291</v>
      </c>
      <c r="BF962" t="str">
        <f>HYPERLINK("http://dx.doi.org/10.1007/3-540-32934-X_27","http://dx.doi.org/10.1007/3-540-32934-X_27")</f>
        <v>http://dx.doi.org/10.1007/3-540-32934-X_27</v>
      </c>
      <c r="BG962" t="s">
        <v>74</v>
      </c>
      <c r="BH962" t="s">
        <v>74</v>
      </c>
      <c r="BI962">
        <v>3</v>
      </c>
      <c r="BJ962" t="s">
        <v>527</v>
      </c>
      <c r="BK962" t="s">
        <v>12886</v>
      </c>
      <c r="BL962" t="s">
        <v>528</v>
      </c>
      <c r="BM962" t="s">
        <v>14006</v>
      </c>
      <c r="BN962" t="s">
        <v>74</v>
      </c>
      <c r="BO962" t="s">
        <v>74</v>
      </c>
      <c r="BP962" t="s">
        <v>74</v>
      </c>
      <c r="BQ962" t="s">
        <v>74</v>
      </c>
      <c r="BR962" t="s">
        <v>100</v>
      </c>
      <c r="BS962" t="s">
        <v>14292</v>
      </c>
      <c r="BT962" t="str">
        <f>HYPERLINK("https%3A%2F%2Fwww.webofscience.com%2Fwos%2Fwoscc%2Ffull-record%2FWOS:000236632500027","View Full Record in Web of Science")</f>
        <v>View Full Record in Web of Science</v>
      </c>
    </row>
    <row r="963" spans="1:72" x14ac:dyDescent="0.15">
      <c r="A963" t="s">
        <v>12866</v>
      </c>
      <c r="B963" t="s">
        <v>14293</v>
      </c>
      <c r="C963" t="s">
        <v>74</v>
      </c>
      <c r="D963" t="s">
        <v>13992</v>
      </c>
      <c r="E963" t="s">
        <v>74</v>
      </c>
      <c r="F963" t="s">
        <v>14293</v>
      </c>
      <c r="G963" t="s">
        <v>74</v>
      </c>
      <c r="H963" t="s">
        <v>74</v>
      </c>
      <c r="I963" t="s">
        <v>14294</v>
      </c>
      <c r="J963" t="s">
        <v>14016</v>
      </c>
      <c r="K963" t="s">
        <v>74</v>
      </c>
      <c r="L963" t="s">
        <v>74</v>
      </c>
      <c r="M963" t="s">
        <v>78</v>
      </c>
      <c r="N963" t="s">
        <v>12873</v>
      </c>
      <c r="O963" t="s">
        <v>13995</v>
      </c>
      <c r="P963" t="s">
        <v>13996</v>
      </c>
      <c r="Q963" t="s">
        <v>13997</v>
      </c>
      <c r="R963" t="s">
        <v>74</v>
      </c>
      <c r="S963" t="s">
        <v>13998</v>
      </c>
      <c r="T963" t="s">
        <v>74</v>
      </c>
      <c r="U963" t="s">
        <v>14295</v>
      </c>
      <c r="V963" t="s">
        <v>14296</v>
      </c>
      <c r="W963" t="s">
        <v>14297</v>
      </c>
      <c r="X963" t="s">
        <v>14298</v>
      </c>
      <c r="Y963" t="s">
        <v>14299</v>
      </c>
      <c r="Z963" t="s">
        <v>14300</v>
      </c>
      <c r="AA963" t="s">
        <v>14301</v>
      </c>
      <c r="AB963" t="s">
        <v>14302</v>
      </c>
      <c r="AC963" t="s">
        <v>14303</v>
      </c>
      <c r="AD963" t="s">
        <v>14304</v>
      </c>
      <c r="AE963" t="s">
        <v>14305</v>
      </c>
      <c r="AF963" t="s">
        <v>74</v>
      </c>
      <c r="AG963">
        <v>17</v>
      </c>
      <c r="AH963">
        <v>0</v>
      </c>
      <c r="AI963">
        <v>0</v>
      </c>
      <c r="AJ963">
        <v>0</v>
      </c>
      <c r="AK963">
        <v>1</v>
      </c>
      <c r="AL963" t="s">
        <v>14001</v>
      </c>
      <c r="AM963" t="s">
        <v>14002</v>
      </c>
      <c r="AN963" t="s">
        <v>14003</v>
      </c>
      <c r="AO963" t="s">
        <v>74</v>
      </c>
      <c r="AP963" t="s">
        <v>74</v>
      </c>
      <c r="AQ963" t="s">
        <v>14004</v>
      </c>
      <c r="AR963" t="s">
        <v>74</v>
      </c>
      <c r="AS963" t="s">
        <v>74</v>
      </c>
      <c r="AT963" t="s">
        <v>74</v>
      </c>
      <c r="AU963">
        <v>2006</v>
      </c>
      <c r="AV963" t="s">
        <v>74</v>
      </c>
      <c r="AW963" t="s">
        <v>74</v>
      </c>
      <c r="AX963" t="s">
        <v>74</v>
      </c>
      <c r="AY963" t="s">
        <v>74</v>
      </c>
      <c r="AZ963" t="s">
        <v>74</v>
      </c>
      <c r="BA963" t="s">
        <v>74</v>
      </c>
      <c r="BB963">
        <v>237</v>
      </c>
      <c r="BC963" t="s">
        <v>7504</v>
      </c>
      <c r="BD963" t="s">
        <v>74</v>
      </c>
      <c r="BE963" t="s">
        <v>14306</v>
      </c>
      <c r="BF963" t="str">
        <f>HYPERLINK("http://dx.doi.org/10.1007/3-540-32934-X_28","http://dx.doi.org/10.1007/3-540-32934-X_28")</f>
        <v>http://dx.doi.org/10.1007/3-540-32934-X_28</v>
      </c>
      <c r="BG963" t="s">
        <v>74</v>
      </c>
      <c r="BH963" t="s">
        <v>74</v>
      </c>
      <c r="BI963">
        <v>2</v>
      </c>
      <c r="BJ963" t="s">
        <v>527</v>
      </c>
      <c r="BK963" t="s">
        <v>12886</v>
      </c>
      <c r="BL963" t="s">
        <v>528</v>
      </c>
      <c r="BM963" t="s">
        <v>14006</v>
      </c>
      <c r="BN963" t="s">
        <v>74</v>
      </c>
      <c r="BO963" t="s">
        <v>74</v>
      </c>
      <c r="BP963" t="s">
        <v>74</v>
      </c>
      <c r="BQ963" t="s">
        <v>74</v>
      </c>
      <c r="BR963" t="s">
        <v>100</v>
      </c>
      <c r="BS963" t="s">
        <v>14307</v>
      </c>
      <c r="BT963" t="str">
        <f>HYPERLINK("https%3A%2F%2Fwww.webofscience.com%2Fwos%2Fwoscc%2Ffull-record%2FWOS:000236632500028","View Full Record in Web of Science")</f>
        <v>View Full Record in Web of Science</v>
      </c>
    </row>
    <row r="964" spans="1:72" x14ac:dyDescent="0.15">
      <c r="A964" t="s">
        <v>12866</v>
      </c>
      <c r="B964" t="s">
        <v>14308</v>
      </c>
      <c r="C964" t="s">
        <v>74</v>
      </c>
      <c r="D964" t="s">
        <v>13992</v>
      </c>
      <c r="E964" t="s">
        <v>74</v>
      </c>
      <c r="F964" t="s">
        <v>14308</v>
      </c>
      <c r="G964" t="s">
        <v>74</v>
      </c>
      <c r="H964" t="s">
        <v>74</v>
      </c>
      <c r="I964" t="s">
        <v>14309</v>
      </c>
      <c r="J964" t="s">
        <v>14016</v>
      </c>
      <c r="K964" t="s">
        <v>74</v>
      </c>
      <c r="L964" t="s">
        <v>74</v>
      </c>
      <c r="M964" t="s">
        <v>78</v>
      </c>
      <c r="N964" t="s">
        <v>12873</v>
      </c>
      <c r="O964" t="s">
        <v>13995</v>
      </c>
      <c r="P964" t="s">
        <v>13996</v>
      </c>
      <c r="Q964" t="s">
        <v>13997</v>
      </c>
      <c r="R964" t="s">
        <v>74</v>
      </c>
      <c r="S964" t="s">
        <v>13998</v>
      </c>
      <c r="T964" t="s">
        <v>74</v>
      </c>
      <c r="U964" t="s">
        <v>14310</v>
      </c>
      <c r="V964" t="s">
        <v>14311</v>
      </c>
      <c r="W964" t="s">
        <v>14312</v>
      </c>
      <c r="X964" t="s">
        <v>14313</v>
      </c>
      <c r="Y964" t="s">
        <v>14299</v>
      </c>
      <c r="Z964" t="s">
        <v>14314</v>
      </c>
      <c r="AA964" t="s">
        <v>14315</v>
      </c>
      <c r="AB964" t="s">
        <v>14316</v>
      </c>
      <c r="AC964" t="s">
        <v>14317</v>
      </c>
      <c r="AD964" t="s">
        <v>14318</v>
      </c>
      <c r="AE964" t="s">
        <v>14319</v>
      </c>
      <c r="AF964" t="s">
        <v>74</v>
      </c>
      <c r="AG964">
        <v>21</v>
      </c>
      <c r="AH964">
        <v>2</v>
      </c>
      <c r="AI964">
        <v>2</v>
      </c>
      <c r="AJ964">
        <v>0</v>
      </c>
      <c r="AK964">
        <v>0</v>
      </c>
      <c r="AL964" t="s">
        <v>14001</v>
      </c>
      <c r="AM964" t="s">
        <v>14002</v>
      </c>
      <c r="AN964" t="s">
        <v>14003</v>
      </c>
      <c r="AO964" t="s">
        <v>74</v>
      </c>
      <c r="AP964" t="s">
        <v>74</v>
      </c>
      <c r="AQ964" t="s">
        <v>14004</v>
      </c>
      <c r="AR964" t="s">
        <v>74</v>
      </c>
      <c r="AS964" t="s">
        <v>74</v>
      </c>
      <c r="AT964" t="s">
        <v>74</v>
      </c>
      <c r="AU964">
        <v>2006</v>
      </c>
      <c r="AV964" t="s">
        <v>74</v>
      </c>
      <c r="AW964" t="s">
        <v>74</v>
      </c>
      <c r="AX964" t="s">
        <v>74</v>
      </c>
      <c r="AY964" t="s">
        <v>74</v>
      </c>
      <c r="AZ964" t="s">
        <v>74</v>
      </c>
      <c r="BA964" t="s">
        <v>74</v>
      </c>
      <c r="BB964">
        <v>243</v>
      </c>
      <c r="BC964" t="s">
        <v>7504</v>
      </c>
      <c r="BD964" t="s">
        <v>74</v>
      </c>
      <c r="BE964" t="s">
        <v>14320</v>
      </c>
      <c r="BF964" t="str">
        <f>HYPERLINK("http://dx.doi.org/10.1007/3-540-32934-X_29","http://dx.doi.org/10.1007/3-540-32934-X_29")</f>
        <v>http://dx.doi.org/10.1007/3-540-32934-X_29</v>
      </c>
      <c r="BG964" t="s">
        <v>74</v>
      </c>
      <c r="BH964" t="s">
        <v>74</v>
      </c>
      <c r="BI964">
        <v>3</v>
      </c>
      <c r="BJ964" t="s">
        <v>527</v>
      </c>
      <c r="BK964" t="s">
        <v>12886</v>
      </c>
      <c r="BL964" t="s">
        <v>528</v>
      </c>
      <c r="BM964" t="s">
        <v>14006</v>
      </c>
      <c r="BN964" t="s">
        <v>74</v>
      </c>
      <c r="BO964" t="s">
        <v>74</v>
      </c>
      <c r="BP964" t="s">
        <v>74</v>
      </c>
      <c r="BQ964" t="s">
        <v>74</v>
      </c>
      <c r="BR964" t="s">
        <v>100</v>
      </c>
      <c r="BS964" t="s">
        <v>14321</v>
      </c>
      <c r="BT964" t="str">
        <f>HYPERLINK("https%3A%2F%2Fwww.webofscience.com%2Fwos%2Fwoscc%2Ffull-record%2FWOS:000236632500029","View Full Record in Web of Science")</f>
        <v>View Full Record in Web of Science</v>
      </c>
    </row>
    <row r="965" spans="1:72" x14ac:dyDescent="0.15">
      <c r="A965" t="s">
        <v>12866</v>
      </c>
      <c r="B965" t="s">
        <v>14322</v>
      </c>
      <c r="C965" t="s">
        <v>74</v>
      </c>
      <c r="D965" t="s">
        <v>13992</v>
      </c>
      <c r="E965" t="s">
        <v>74</v>
      </c>
      <c r="F965" t="s">
        <v>14322</v>
      </c>
      <c r="G965" t="s">
        <v>74</v>
      </c>
      <c r="H965" t="s">
        <v>74</v>
      </c>
      <c r="I965" t="s">
        <v>14323</v>
      </c>
      <c r="J965" t="s">
        <v>14016</v>
      </c>
      <c r="K965" t="s">
        <v>74</v>
      </c>
      <c r="L965" t="s">
        <v>74</v>
      </c>
      <c r="M965" t="s">
        <v>78</v>
      </c>
      <c r="N965" t="s">
        <v>12873</v>
      </c>
      <c r="O965" t="s">
        <v>13995</v>
      </c>
      <c r="P965" t="s">
        <v>13996</v>
      </c>
      <c r="Q965" t="s">
        <v>13997</v>
      </c>
      <c r="R965" t="s">
        <v>74</v>
      </c>
      <c r="S965" t="s">
        <v>13998</v>
      </c>
      <c r="T965" t="s">
        <v>74</v>
      </c>
      <c r="U965" t="s">
        <v>14324</v>
      </c>
      <c r="V965" t="s">
        <v>14325</v>
      </c>
      <c r="W965" t="s">
        <v>14326</v>
      </c>
      <c r="X965" t="s">
        <v>14327</v>
      </c>
      <c r="Y965" t="s">
        <v>14328</v>
      </c>
      <c r="Z965" t="s">
        <v>14329</v>
      </c>
      <c r="AA965" t="s">
        <v>14330</v>
      </c>
      <c r="AB965" t="s">
        <v>14331</v>
      </c>
      <c r="AC965" t="s">
        <v>14332</v>
      </c>
      <c r="AD965" t="s">
        <v>14332</v>
      </c>
      <c r="AE965" t="s">
        <v>14333</v>
      </c>
      <c r="AF965" t="s">
        <v>74</v>
      </c>
      <c r="AG965">
        <v>17</v>
      </c>
      <c r="AH965">
        <v>16</v>
      </c>
      <c r="AI965">
        <v>17</v>
      </c>
      <c r="AJ965">
        <v>0</v>
      </c>
      <c r="AK965">
        <v>4</v>
      </c>
      <c r="AL965" t="s">
        <v>14001</v>
      </c>
      <c r="AM965" t="s">
        <v>14002</v>
      </c>
      <c r="AN965" t="s">
        <v>14003</v>
      </c>
      <c r="AO965" t="s">
        <v>74</v>
      </c>
      <c r="AP965" t="s">
        <v>74</v>
      </c>
      <c r="AQ965" t="s">
        <v>14004</v>
      </c>
      <c r="AR965" t="s">
        <v>74</v>
      </c>
      <c r="AS965" t="s">
        <v>74</v>
      </c>
      <c r="AT965" t="s">
        <v>74</v>
      </c>
      <c r="AU965">
        <v>2006</v>
      </c>
      <c r="AV965" t="s">
        <v>74</v>
      </c>
      <c r="AW965" t="s">
        <v>74</v>
      </c>
      <c r="AX965" t="s">
        <v>74</v>
      </c>
      <c r="AY965" t="s">
        <v>74</v>
      </c>
      <c r="AZ965" t="s">
        <v>74</v>
      </c>
      <c r="BA965" t="s">
        <v>74</v>
      </c>
      <c r="BB965">
        <v>249</v>
      </c>
      <c r="BC965" t="s">
        <v>7504</v>
      </c>
      <c r="BD965" t="s">
        <v>74</v>
      </c>
      <c r="BE965" t="s">
        <v>14334</v>
      </c>
      <c r="BF965" t="str">
        <f>HYPERLINK("http://dx.doi.org/10.1007/3-540-32934-X_30","http://dx.doi.org/10.1007/3-540-32934-X_30")</f>
        <v>http://dx.doi.org/10.1007/3-540-32934-X_30</v>
      </c>
      <c r="BG965" t="s">
        <v>74</v>
      </c>
      <c r="BH965" t="s">
        <v>74</v>
      </c>
      <c r="BI965">
        <v>3</v>
      </c>
      <c r="BJ965" t="s">
        <v>527</v>
      </c>
      <c r="BK965" t="s">
        <v>12886</v>
      </c>
      <c r="BL965" t="s">
        <v>528</v>
      </c>
      <c r="BM965" t="s">
        <v>14006</v>
      </c>
      <c r="BN965" t="s">
        <v>74</v>
      </c>
      <c r="BO965" t="s">
        <v>74</v>
      </c>
      <c r="BP965" t="s">
        <v>74</v>
      </c>
      <c r="BQ965" t="s">
        <v>74</v>
      </c>
      <c r="BR965" t="s">
        <v>100</v>
      </c>
      <c r="BS965" t="s">
        <v>14335</v>
      </c>
      <c r="BT965" t="str">
        <f>HYPERLINK("https%3A%2F%2Fwww.webofscience.com%2Fwos%2Fwoscc%2Ffull-record%2FWOS:000236632500030","View Full Record in Web of Science")</f>
        <v>View Full Record in Web of Science</v>
      </c>
    </row>
    <row r="966" spans="1:72" x14ac:dyDescent="0.15">
      <c r="A966" t="s">
        <v>12866</v>
      </c>
      <c r="B966" t="s">
        <v>14336</v>
      </c>
      <c r="C966" t="s">
        <v>74</v>
      </c>
      <c r="D966" t="s">
        <v>13992</v>
      </c>
      <c r="E966" t="s">
        <v>74</v>
      </c>
      <c r="F966" t="s">
        <v>14336</v>
      </c>
      <c r="G966" t="s">
        <v>74</v>
      </c>
      <c r="H966" t="s">
        <v>74</v>
      </c>
      <c r="I966" t="s">
        <v>14337</v>
      </c>
      <c r="J966" t="s">
        <v>14016</v>
      </c>
      <c r="K966" t="s">
        <v>74</v>
      </c>
      <c r="L966" t="s">
        <v>74</v>
      </c>
      <c r="M966" t="s">
        <v>78</v>
      </c>
      <c r="N966" t="s">
        <v>12873</v>
      </c>
      <c r="O966" t="s">
        <v>13995</v>
      </c>
      <c r="P966" t="s">
        <v>13996</v>
      </c>
      <c r="Q966" t="s">
        <v>13997</v>
      </c>
      <c r="R966" t="s">
        <v>74</v>
      </c>
      <c r="S966" t="s">
        <v>13998</v>
      </c>
      <c r="T966" t="s">
        <v>74</v>
      </c>
      <c r="U966" t="s">
        <v>14338</v>
      </c>
      <c r="V966" t="s">
        <v>14339</v>
      </c>
      <c r="W966" t="s">
        <v>14340</v>
      </c>
      <c r="X966" t="s">
        <v>14341</v>
      </c>
      <c r="Y966" t="s">
        <v>14342</v>
      </c>
      <c r="Z966" t="s">
        <v>14343</v>
      </c>
      <c r="AA966" t="s">
        <v>3714</v>
      </c>
      <c r="AB966" t="s">
        <v>74</v>
      </c>
      <c r="AC966" t="s">
        <v>74</v>
      </c>
      <c r="AD966" t="s">
        <v>74</v>
      </c>
      <c r="AE966" t="s">
        <v>74</v>
      </c>
      <c r="AF966" t="s">
        <v>74</v>
      </c>
      <c r="AG966">
        <v>17</v>
      </c>
      <c r="AH966">
        <v>0</v>
      </c>
      <c r="AI966">
        <v>1</v>
      </c>
      <c r="AJ966">
        <v>0</v>
      </c>
      <c r="AK966">
        <v>0</v>
      </c>
      <c r="AL966" t="s">
        <v>14001</v>
      </c>
      <c r="AM966" t="s">
        <v>14002</v>
      </c>
      <c r="AN966" t="s">
        <v>14003</v>
      </c>
      <c r="AO966" t="s">
        <v>74</v>
      </c>
      <c r="AP966" t="s">
        <v>74</v>
      </c>
      <c r="AQ966" t="s">
        <v>14004</v>
      </c>
      <c r="AR966" t="s">
        <v>74</v>
      </c>
      <c r="AS966" t="s">
        <v>74</v>
      </c>
      <c r="AT966" t="s">
        <v>74</v>
      </c>
      <c r="AU966">
        <v>2006</v>
      </c>
      <c r="AV966" t="s">
        <v>74</v>
      </c>
      <c r="AW966" t="s">
        <v>74</v>
      </c>
      <c r="AX966" t="s">
        <v>74</v>
      </c>
      <c r="AY966" t="s">
        <v>74</v>
      </c>
      <c r="AZ966" t="s">
        <v>74</v>
      </c>
      <c r="BA966" t="s">
        <v>74</v>
      </c>
      <c r="BB966">
        <v>255</v>
      </c>
      <c r="BC966" t="s">
        <v>7504</v>
      </c>
      <c r="BD966" t="s">
        <v>74</v>
      </c>
      <c r="BE966" t="s">
        <v>14344</v>
      </c>
      <c r="BF966" t="str">
        <f>HYPERLINK("http://dx.doi.org/10.1007/3-540-32934-X_31","http://dx.doi.org/10.1007/3-540-32934-X_31")</f>
        <v>http://dx.doi.org/10.1007/3-540-32934-X_31</v>
      </c>
      <c r="BG966" t="s">
        <v>74</v>
      </c>
      <c r="BH966" t="s">
        <v>74</v>
      </c>
      <c r="BI966">
        <v>3</v>
      </c>
      <c r="BJ966" t="s">
        <v>527</v>
      </c>
      <c r="BK966" t="s">
        <v>12886</v>
      </c>
      <c r="BL966" t="s">
        <v>528</v>
      </c>
      <c r="BM966" t="s">
        <v>14006</v>
      </c>
      <c r="BN966" t="s">
        <v>74</v>
      </c>
      <c r="BO966" t="s">
        <v>74</v>
      </c>
      <c r="BP966" t="s">
        <v>74</v>
      </c>
      <c r="BQ966" t="s">
        <v>74</v>
      </c>
      <c r="BR966" t="s">
        <v>100</v>
      </c>
      <c r="BS966" t="s">
        <v>14345</v>
      </c>
      <c r="BT966" t="str">
        <f>HYPERLINK("https%3A%2F%2Fwww.webofscience.com%2Fwos%2Fwoscc%2Ffull-record%2FWOS:000236632500031","View Full Record in Web of Science")</f>
        <v>View Full Record in Web of Science</v>
      </c>
    </row>
    <row r="967" spans="1:72" x14ac:dyDescent="0.15">
      <c r="A967" t="s">
        <v>12866</v>
      </c>
      <c r="B967" t="s">
        <v>14346</v>
      </c>
      <c r="C967" t="s">
        <v>74</v>
      </c>
      <c r="D967" t="s">
        <v>13992</v>
      </c>
      <c r="E967" t="s">
        <v>74</v>
      </c>
      <c r="F967" t="s">
        <v>14346</v>
      </c>
      <c r="G967" t="s">
        <v>74</v>
      </c>
      <c r="H967" t="s">
        <v>74</v>
      </c>
      <c r="I967" t="s">
        <v>14347</v>
      </c>
      <c r="J967" t="s">
        <v>14016</v>
      </c>
      <c r="K967" t="s">
        <v>74</v>
      </c>
      <c r="L967" t="s">
        <v>74</v>
      </c>
      <c r="M967" t="s">
        <v>78</v>
      </c>
      <c r="N967" t="s">
        <v>12873</v>
      </c>
      <c r="O967" t="s">
        <v>13995</v>
      </c>
      <c r="P967" t="s">
        <v>13996</v>
      </c>
      <c r="Q967" t="s">
        <v>13997</v>
      </c>
      <c r="R967" t="s">
        <v>74</v>
      </c>
      <c r="S967" t="s">
        <v>13998</v>
      </c>
      <c r="T967" t="s">
        <v>74</v>
      </c>
      <c r="U967" t="s">
        <v>14348</v>
      </c>
      <c r="V967" t="s">
        <v>14349</v>
      </c>
      <c r="W967" t="s">
        <v>14350</v>
      </c>
      <c r="X967" t="s">
        <v>14351</v>
      </c>
      <c r="Y967" t="s">
        <v>14352</v>
      </c>
      <c r="Z967" t="s">
        <v>14353</v>
      </c>
      <c r="AA967" t="s">
        <v>14354</v>
      </c>
      <c r="AB967" t="s">
        <v>74</v>
      </c>
      <c r="AC967" t="s">
        <v>14355</v>
      </c>
      <c r="AD967" t="s">
        <v>14356</v>
      </c>
      <c r="AE967" t="s">
        <v>14357</v>
      </c>
      <c r="AF967" t="s">
        <v>74</v>
      </c>
      <c r="AG967">
        <v>24</v>
      </c>
      <c r="AH967">
        <v>3</v>
      </c>
      <c r="AI967">
        <v>3</v>
      </c>
      <c r="AJ967">
        <v>0</v>
      </c>
      <c r="AK967">
        <v>2</v>
      </c>
      <c r="AL967" t="s">
        <v>14001</v>
      </c>
      <c r="AM967" t="s">
        <v>14002</v>
      </c>
      <c r="AN967" t="s">
        <v>14003</v>
      </c>
      <c r="AO967" t="s">
        <v>74</v>
      </c>
      <c r="AP967" t="s">
        <v>74</v>
      </c>
      <c r="AQ967" t="s">
        <v>14004</v>
      </c>
      <c r="AR967" t="s">
        <v>74</v>
      </c>
      <c r="AS967" t="s">
        <v>74</v>
      </c>
      <c r="AT967" t="s">
        <v>74</v>
      </c>
      <c r="AU967">
        <v>2006</v>
      </c>
      <c r="AV967" t="s">
        <v>74</v>
      </c>
      <c r="AW967" t="s">
        <v>74</v>
      </c>
      <c r="AX967" t="s">
        <v>74</v>
      </c>
      <c r="AY967" t="s">
        <v>74</v>
      </c>
      <c r="AZ967" t="s">
        <v>74</v>
      </c>
      <c r="BA967" t="s">
        <v>74</v>
      </c>
      <c r="BB967">
        <v>261</v>
      </c>
      <c r="BC967" t="s">
        <v>7504</v>
      </c>
      <c r="BD967" t="s">
        <v>74</v>
      </c>
      <c r="BE967" t="s">
        <v>14358</v>
      </c>
      <c r="BF967" t="str">
        <f>HYPERLINK("http://dx.doi.org/10.1007/3-540-32934-X_32","http://dx.doi.org/10.1007/3-540-32934-X_32")</f>
        <v>http://dx.doi.org/10.1007/3-540-32934-X_32</v>
      </c>
      <c r="BG967" t="s">
        <v>74</v>
      </c>
      <c r="BH967" t="s">
        <v>74</v>
      </c>
      <c r="BI967">
        <v>2</v>
      </c>
      <c r="BJ967" t="s">
        <v>527</v>
      </c>
      <c r="BK967" t="s">
        <v>12886</v>
      </c>
      <c r="BL967" t="s">
        <v>528</v>
      </c>
      <c r="BM967" t="s">
        <v>14006</v>
      </c>
      <c r="BN967" t="s">
        <v>74</v>
      </c>
      <c r="BO967" t="s">
        <v>74</v>
      </c>
      <c r="BP967" t="s">
        <v>74</v>
      </c>
      <c r="BQ967" t="s">
        <v>74</v>
      </c>
      <c r="BR967" t="s">
        <v>100</v>
      </c>
      <c r="BS967" t="s">
        <v>14359</v>
      </c>
      <c r="BT967" t="str">
        <f>HYPERLINK("https%3A%2F%2Fwww.webofscience.com%2Fwos%2Fwoscc%2Ffull-record%2FWOS:000236632500032","View Full Record in Web of Science")</f>
        <v>View Full Record in Web of Science</v>
      </c>
    </row>
    <row r="968" spans="1:72" x14ac:dyDescent="0.15">
      <c r="A968" t="s">
        <v>12866</v>
      </c>
      <c r="B968" t="s">
        <v>14360</v>
      </c>
      <c r="C968" t="s">
        <v>74</v>
      </c>
      <c r="D968" t="s">
        <v>13992</v>
      </c>
      <c r="E968" t="s">
        <v>74</v>
      </c>
      <c r="F968" t="s">
        <v>14360</v>
      </c>
      <c r="G968" t="s">
        <v>74</v>
      </c>
      <c r="H968" t="s">
        <v>74</v>
      </c>
      <c r="I968" t="s">
        <v>14361</v>
      </c>
      <c r="J968" t="s">
        <v>14016</v>
      </c>
      <c r="K968" t="s">
        <v>74</v>
      </c>
      <c r="L968" t="s">
        <v>74</v>
      </c>
      <c r="M968" t="s">
        <v>78</v>
      </c>
      <c r="N968" t="s">
        <v>12873</v>
      </c>
      <c r="O968" t="s">
        <v>13995</v>
      </c>
      <c r="P968" t="s">
        <v>13996</v>
      </c>
      <c r="Q968" t="s">
        <v>13997</v>
      </c>
      <c r="R968" t="s">
        <v>74</v>
      </c>
      <c r="S968" t="s">
        <v>13998</v>
      </c>
      <c r="T968" t="s">
        <v>74</v>
      </c>
      <c r="U968" t="s">
        <v>14362</v>
      </c>
      <c r="V968" t="s">
        <v>14363</v>
      </c>
      <c r="W968" t="s">
        <v>14364</v>
      </c>
      <c r="X968" t="s">
        <v>12901</v>
      </c>
      <c r="Y968" t="s">
        <v>14299</v>
      </c>
      <c r="Z968" t="s">
        <v>14365</v>
      </c>
      <c r="AA968" t="s">
        <v>14366</v>
      </c>
      <c r="AB968" t="s">
        <v>14367</v>
      </c>
      <c r="AC968" t="s">
        <v>74</v>
      </c>
      <c r="AD968" t="s">
        <v>74</v>
      </c>
      <c r="AE968" t="s">
        <v>74</v>
      </c>
      <c r="AF968" t="s">
        <v>74</v>
      </c>
      <c r="AG968">
        <v>22</v>
      </c>
      <c r="AH968">
        <v>6</v>
      </c>
      <c r="AI968">
        <v>6</v>
      </c>
      <c r="AJ968">
        <v>0</v>
      </c>
      <c r="AK968">
        <v>1</v>
      </c>
      <c r="AL968" t="s">
        <v>14001</v>
      </c>
      <c r="AM968" t="s">
        <v>14002</v>
      </c>
      <c r="AN968" t="s">
        <v>14003</v>
      </c>
      <c r="AO968" t="s">
        <v>74</v>
      </c>
      <c r="AP968" t="s">
        <v>74</v>
      </c>
      <c r="AQ968" t="s">
        <v>14004</v>
      </c>
      <c r="AR968" t="s">
        <v>74</v>
      </c>
      <c r="AS968" t="s">
        <v>74</v>
      </c>
      <c r="AT968" t="s">
        <v>74</v>
      </c>
      <c r="AU968">
        <v>2006</v>
      </c>
      <c r="AV968" t="s">
        <v>74</v>
      </c>
      <c r="AW968" t="s">
        <v>74</v>
      </c>
      <c r="AX968" t="s">
        <v>74</v>
      </c>
      <c r="AY968" t="s">
        <v>74</v>
      </c>
      <c r="AZ968" t="s">
        <v>74</v>
      </c>
      <c r="BA968" t="s">
        <v>74</v>
      </c>
      <c r="BB968">
        <v>271</v>
      </c>
      <c r="BC968">
        <v>276</v>
      </c>
      <c r="BD968" t="s">
        <v>74</v>
      </c>
      <c r="BE968" t="s">
        <v>14368</v>
      </c>
      <c r="BF968" t="str">
        <f>HYPERLINK("http://dx.doi.org/10.1007/3-540-32934-X_33","http://dx.doi.org/10.1007/3-540-32934-X_33")</f>
        <v>http://dx.doi.org/10.1007/3-540-32934-X_33</v>
      </c>
      <c r="BG968" t="s">
        <v>74</v>
      </c>
      <c r="BH968" t="s">
        <v>74</v>
      </c>
      <c r="BI968">
        <v>6</v>
      </c>
      <c r="BJ968" t="s">
        <v>527</v>
      </c>
      <c r="BK968" t="s">
        <v>12886</v>
      </c>
      <c r="BL968" t="s">
        <v>528</v>
      </c>
      <c r="BM968" t="s">
        <v>14006</v>
      </c>
      <c r="BN968" t="s">
        <v>74</v>
      </c>
      <c r="BO968" t="s">
        <v>74</v>
      </c>
      <c r="BP968" t="s">
        <v>74</v>
      </c>
      <c r="BQ968" t="s">
        <v>74</v>
      </c>
      <c r="BR968" t="s">
        <v>100</v>
      </c>
      <c r="BS968" t="s">
        <v>14369</v>
      </c>
      <c r="BT968" t="str">
        <f>HYPERLINK("https%3A%2F%2Fwww.webofscience.com%2Fwos%2Fwoscc%2Ffull-record%2FWOS:000236632500033","View Full Record in Web of Science")</f>
        <v>View Full Record in Web of Science</v>
      </c>
    </row>
    <row r="969" spans="1:72" x14ac:dyDescent="0.15">
      <c r="A969" t="s">
        <v>12866</v>
      </c>
      <c r="B969" t="s">
        <v>14370</v>
      </c>
      <c r="C969" t="s">
        <v>74</v>
      </c>
      <c r="D969" t="s">
        <v>13992</v>
      </c>
      <c r="E969" t="s">
        <v>74</v>
      </c>
      <c r="F969" t="s">
        <v>14370</v>
      </c>
      <c r="G969" t="s">
        <v>74</v>
      </c>
      <c r="H969" t="s">
        <v>74</v>
      </c>
      <c r="I969" t="s">
        <v>14371</v>
      </c>
      <c r="J969" t="s">
        <v>13994</v>
      </c>
      <c r="K969" t="s">
        <v>74</v>
      </c>
      <c r="L969" t="s">
        <v>74</v>
      </c>
      <c r="M969" t="s">
        <v>78</v>
      </c>
      <c r="N969" t="s">
        <v>12873</v>
      </c>
      <c r="O969" t="s">
        <v>13995</v>
      </c>
      <c r="P969" t="s">
        <v>13996</v>
      </c>
      <c r="Q969" t="s">
        <v>13997</v>
      </c>
      <c r="R969" t="s">
        <v>74</v>
      </c>
      <c r="S969" t="s">
        <v>13998</v>
      </c>
      <c r="T969" t="s">
        <v>74</v>
      </c>
      <c r="U969" t="s">
        <v>14372</v>
      </c>
      <c r="V969" t="s">
        <v>14373</v>
      </c>
      <c r="W969" t="s">
        <v>14374</v>
      </c>
      <c r="X969" t="s">
        <v>14375</v>
      </c>
      <c r="Y969" t="s">
        <v>14376</v>
      </c>
      <c r="Z969" t="s">
        <v>74</v>
      </c>
      <c r="AA969" t="s">
        <v>14377</v>
      </c>
      <c r="AB969" t="s">
        <v>14378</v>
      </c>
      <c r="AC969" t="s">
        <v>74</v>
      </c>
      <c r="AD969" t="s">
        <v>74</v>
      </c>
      <c r="AE969" t="s">
        <v>74</v>
      </c>
      <c r="AF969" t="s">
        <v>74</v>
      </c>
      <c r="AG969">
        <v>11</v>
      </c>
      <c r="AH969">
        <v>7</v>
      </c>
      <c r="AI969">
        <v>7</v>
      </c>
      <c r="AJ969">
        <v>0</v>
      </c>
      <c r="AK969">
        <v>3</v>
      </c>
      <c r="AL969" t="s">
        <v>14001</v>
      </c>
      <c r="AM969" t="s">
        <v>14002</v>
      </c>
      <c r="AN969" t="s">
        <v>14003</v>
      </c>
      <c r="AO969" t="s">
        <v>74</v>
      </c>
      <c r="AP969" t="s">
        <v>74</v>
      </c>
      <c r="AQ969" t="s">
        <v>14004</v>
      </c>
      <c r="AR969" t="s">
        <v>74</v>
      </c>
      <c r="AS969" t="s">
        <v>74</v>
      </c>
      <c r="AT969" t="s">
        <v>74</v>
      </c>
      <c r="AU969">
        <v>2006</v>
      </c>
      <c r="AV969" t="s">
        <v>74</v>
      </c>
      <c r="AW969" t="s">
        <v>74</v>
      </c>
      <c r="AX969" t="s">
        <v>74</v>
      </c>
      <c r="AY969" t="s">
        <v>74</v>
      </c>
      <c r="AZ969" t="s">
        <v>74</v>
      </c>
      <c r="BA969" t="s">
        <v>74</v>
      </c>
      <c r="BB969">
        <v>277</v>
      </c>
      <c r="BC969">
        <v>281</v>
      </c>
      <c r="BD969" t="s">
        <v>74</v>
      </c>
      <c r="BE969" t="s">
        <v>14379</v>
      </c>
      <c r="BF969" t="str">
        <f>HYPERLINK("http://dx.doi.org/10.1007/3-540-32934-X_34","http://dx.doi.org/10.1007/3-540-32934-X_34")</f>
        <v>http://dx.doi.org/10.1007/3-540-32934-X_34</v>
      </c>
      <c r="BG969" t="s">
        <v>74</v>
      </c>
      <c r="BH969" t="s">
        <v>74</v>
      </c>
      <c r="BI969">
        <v>5</v>
      </c>
      <c r="BJ969" t="s">
        <v>527</v>
      </c>
      <c r="BK969" t="s">
        <v>12886</v>
      </c>
      <c r="BL969" t="s">
        <v>528</v>
      </c>
      <c r="BM969" t="s">
        <v>14006</v>
      </c>
      <c r="BN969" t="s">
        <v>74</v>
      </c>
      <c r="BO969" t="s">
        <v>74</v>
      </c>
      <c r="BP969" t="s">
        <v>74</v>
      </c>
      <c r="BQ969" t="s">
        <v>74</v>
      </c>
      <c r="BR969" t="s">
        <v>100</v>
      </c>
      <c r="BS969" t="s">
        <v>14380</v>
      </c>
      <c r="BT969" t="str">
        <f>HYPERLINK("https%3A%2F%2Fwww.webofscience.com%2Fwos%2Fwoscc%2Ffull-record%2FWOS:000236632500034","View Full Record in Web of Science")</f>
        <v>View Full Record in Web of Science</v>
      </c>
    </row>
    <row r="970" spans="1:72" x14ac:dyDescent="0.15">
      <c r="A970" t="s">
        <v>12866</v>
      </c>
      <c r="B970" t="s">
        <v>14381</v>
      </c>
      <c r="C970" t="s">
        <v>74</v>
      </c>
      <c r="D970" t="s">
        <v>13992</v>
      </c>
      <c r="E970" t="s">
        <v>74</v>
      </c>
      <c r="F970" t="s">
        <v>14381</v>
      </c>
      <c r="G970" t="s">
        <v>74</v>
      </c>
      <c r="H970" t="s">
        <v>74</v>
      </c>
      <c r="I970" t="s">
        <v>14382</v>
      </c>
      <c r="J970" t="s">
        <v>13994</v>
      </c>
      <c r="K970" t="s">
        <v>74</v>
      </c>
      <c r="L970" t="s">
        <v>74</v>
      </c>
      <c r="M970" t="s">
        <v>78</v>
      </c>
      <c r="N970" t="s">
        <v>12873</v>
      </c>
      <c r="O970" t="s">
        <v>13995</v>
      </c>
      <c r="P970" t="s">
        <v>13996</v>
      </c>
      <c r="Q970" t="s">
        <v>13997</v>
      </c>
      <c r="R970" t="s">
        <v>74</v>
      </c>
      <c r="S970" t="s">
        <v>13998</v>
      </c>
      <c r="T970" t="s">
        <v>74</v>
      </c>
      <c r="U970" t="s">
        <v>74</v>
      </c>
      <c r="V970" t="s">
        <v>14383</v>
      </c>
      <c r="W970" t="s">
        <v>14384</v>
      </c>
      <c r="X970" t="s">
        <v>5744</v>
      </c>
      <c r="Y970" t="s">
        <v>14385</v>
      </c>
      <c r="Z970" t="s">
        <v>74</v>
      </c>
      <c r="AA970" t="s">
        <v>14386</v>
      </c>
      <c r="AB970" t="s">
        <v>14387</v>
      </c>
      <c r="AC970" t="s">
        <v>74</v>
      </c>
      <c r="AD970" t="s">
        <v>74</v>
      </c>
      <c r="AE970" t="s">
        <v>74</v>
      </c>
      <c r="AF970" t="s">
        <v>74</v>
      </c>
      <c r="AG970">
        <v>7</v>
      </c>
      <c r="AH970">
        <v>5</v>
      </c>
      <c r="AI970">
        <v>5</v>
      </c>
      <c r="AJ970">
        <v>0</v>
      </c>
      <c r="AK970">
        <v>4</v>
      </c>
      <c r="AL970" t="s">
        <v>14001</v>
      </c>
      <c r="AM970" t="s">
        <v>14002</v>
      </c>
      <c r="AN970" t="s">
        <v>14003</v>
      </c>
      <c r="AO970" t="s">
        <v>74</v>
      </c>
      <c r="AP970" t="s">
        <v>74</v>
      </c>
      <c r="AQ970" t="s">
        <v>14004</v>
      </c>
      <c r="AR970" t="s">
        <v>74</v>
      </c>
      <c r="AS970" t="s">
        <v>74</v>
      </c>
      <c r="AT970" t="s">
        <v>74</v>
      </c>
      <c r="AU970">
        <v>2006</v>
      </c>
      <c r="AV970" t="s">
        <v>74</v>
      </c>
      <c r="AW970" t="s">
        <v>74</v>
      </c>
      <c r="AX970" t="s">
        <v>74</v>
      </c>
      <c r="AY970" t="s">
        <v>74</v>
      </c>
      <c r="AZ970" t="s">
        <v>74</v>
      </c>
      <c r="BA970" t="s">
        <v>74</v>
      </c>
      <c r="BB970">
        <v>283</v>
      </c>
      <c r="BC970">
        <v>287</v>
      </c>
      <c r="BD970" t="s">
        <v>74</v>
      </c>
      <c r="BE970" t="s">
        <v>14388</v>
      </c>
      <c r="BF970" t="str">
        <f>HYPERLINK("http://dx.doi.org/10.1007/3-540-32934-X_35","http://dx.doi.org/10.1007/3-540-32934-X_35")</f>
        <v>http://dx.doi.org/10.1007/3-540-32934-X_35</v>
      </c>
      <c r="BG970" t="s">
        <v>74</v>
      </c>
      <c r="BH970" t="s">
        <v>74</v>
      </c>
      <c r="BI970">
        <v>5</v>
      </c>
      <c r="BJ970" t="s">
        <v>527</v>
      </c>
      <c r="BK970" t="s">
        <v>12886</v>
      </c>
      <c r="BL970" t="s">
        <v>528</v>
      </c>
      <c r="BM970" t="s">
        <v>14006</v>
      </c>
      <c r="BN970" t="s">
        <v>74</v>
      </c>
      <c r="BO970" t="s">
        <v>74</v>
      </c>
      <c r="BP970" t="s">
        <v>74</v>
      </c>
      <c r="BQ970" t="s">
        <v>74</v>
      </c>
      <c r="BR970" t="s">
        <v>100</v>
      </c>
      <c r="BS970" t="s">
        <v>14389</v>
      </c>
      <c r="BT970" t="str">
        <f>HYPERLINK("https%3A%2F%2Fwww.webofscience.com%2Fwos%2Fwoscc%2Ffull-record%2FWOS:000236632500035","View Full Record in Web of Science")</f>
        <v>View Full Record in Web of Science</v>
      </c>
    </row>
    <row r="971" spans="1:72" x14ac:dyDescent="0.15">
      <c r="A971" t="s">
        <v>12866</v>
      </c>
      <c r="B971" t="s">
        <v>14390</v>
      </c>
      <c r="C971" t="s">
        <v>74</v>
      </c>
      <c r="D971" t="s">
        <v>13992</v>
      </c>
      <c r="E971" t="s">
        <v>74</v>
      </c>
      <c r="F971" t="s">
        <v>14390</v>
      </c>
      <c r="G971" t="s">
        <v>74</v>
      </c>
      <c r="H971" t="s">
        <v>74</v>
      </c>
      <c r="I971" t="s">
        <v>14391</v>
      </c>
      <c r="J971" t="s">
        <v>14016</v>
      </c>
      <c r="K971" t="s">
        <v>74</v>
      </c>
      <c r="L971" t="s">
        <v>74</v>
      </c>
      <c r="M971" t="s">
        <v>78</v>
      </c>
      <c r="N971" t="s">
        <v>12873</v>
      </c>
      <c r="O971" t="s">
        <v>13995</v>
      </c>
      <c r="P971" t="s">
        <v>13996</v>
      </c>
      <c r="Q971" t="s">
        <v>13997</v>
      </c>
      <c r="R971" t="s">
        <v>74</v>
      </c>
      <c r="S971" t="s">
        <v>13998</v>
      </c>
      <c r="T971" t="s">
        <v>74</v>
      </c>
      <c r="U971" t="s">
        <v>14392</v>
      </c>
      <c r="V971" t="s">
        <v>14393</v>
      </c>
      <c r="W971" t="s">
        <v>14394</v>
      </c>
      <c r="X971" t="s">
        <v>13563</v>
      </c>
      <c r="Y971" t="s">
        <v>14395</v>
      </c>
      <c r="Z971" t="s">
        <v>74</v>
      </c>
      <c r="AA971" t="s">
        <v>74</v>
      </c>
      <c r="AB971" t="s">
        <v>74</v>
      </c>
      <c r="AC971" t="s">
        <v>14396</v>
      </c>
      <c r="AD971" t="s">
        <v>14397</v>
      </c>
      <c r="AE971" t="s">
        <v>14398</v>
      </c>
      <c r="AF971" t="s">
        <v>74</v>
      </c>
      <c r="AG971">
        <v>20</v>
      </c>
      <c r="AH971">
        <v>8</v>
      </c>
      <c r="AI971">
        <v>10</v>
      </c>
      <c r="AJ971">
        <v>0</v>
      </c>
      <c r="AK971">
        <v>1</v>
      </c>
      <c r="AL971" t="s">
        <v>14001</v>
      </c>
      <c r="AM971" t="s">
        <v>14002</v>
      </c>
      <c r="AN971" t="s">
        <v>14003</v>
      </c>
      <c r="AO971" t="s">
        <v>74</v>
      </c>
      <c r="AP971" t="s">
        <v>74</v>
      </c>
      <c r="AQ971" t="s">
        <v>14004</v>
      </c>
      <c r="AR971" t="s">
        <v>74</v>
      </c>
      <c r="AS971" t="s">
        <v>74</v>
      </c>
      <c r="AT971" t="s">
        <v>74</v>
      </c>
      <c r="AU971">
        <v>2006</v>
      </c>
      <c r="AV971" t="s">
        <v>74</v>
      </c>
      <c r="AW971" t="s">
        <v>74</v>
      </c>
      <c r="AX971" t="s">
        <v>74</v>
      </c>
      <c r="AY971" t="s">
        <v>74</v>
      </c>
      <c r="AZ971" t="s">
        <v>74</v>
      </c>
      <c r="BA971" t="s">
        <v>74</v>
      </c>
      <c r="BB971">
        <v>291</v>
      </c>
      <c r="BC971" t="s">
        <v>7504</v>
      </c>
      <c r="BD971" t="s">
        <v>74</v>
      </c>
      <c r="BE971" t="s">
        <v>14399</v>
      </c>
      <c r="BF971" t="str">
        <f>HYPERLINK("http://dx.doi.org/10.1007/3-540-32934-X_36","http://dx.doi.org/10.1007/3-540-32934-X_36")</f>
        <v>http://dx.doi.org/10.1007/3-540-32934-X_36</v>
      </c>
      <c r="BG971" t="s">
        <v>74</v>
      </c>
      <c r="BH971" t="s">
        <v>74</v>
      </c>
      <c r="BI971">
        <v>2</v>
      </c>
      <c r="BJ971" t="s">
        <v>527</v>
      </c>
      <c r="BK971" t="s">
        <v>12886</v>
      </c>
      <c r="BL971" t="s">
        <v>528</v>
      </c>
      <c r="BM971" t="s">
        <v>14006</v>
      </c>
      <c r="BN971" t="s">
        <v>74</v>
      </c>
      <c r="BO971" t="s">
        <v>74</v>
      </c>
      <c r="BP971" t="s">
        <v>74</v>
      </c>
      <c r="BQ971" t="s">
        <v>74</v>
      </c>
      <c r="BR971" t="s">
        <v>100</v>
      </c>
      <c r="BS971" t="s">
        <v>14400</v>
      </c>
      <c r="BT971" t="str">
        <f>HYPERLINK("https%3A%2F%2Fwww.webofscience.com%2Fwos%2Fwoscc%2Ffull-record%2FWOS:000236632500036","View Full Record in Web of Science")</f>
        <v>View Full Record in Web of Science</v>
      </c>
    </row>
    <row r="972" spans="1:72" x14ac:dyDescent="0.15">
      <c r="A972" t="s">
        <v>12866</v>
      </c>
      <c r="B972" t="s">
        <v>14401</v>
      </c>
      <c r="C972" t="s">
        <v>74</v>
      </c>
      <c r="D972" t="s">
        <v>13992</v>
      </c>
      <c r="E972" t="s">
        <v>74</v>
      </c>
      <c r="F972" t="s">
        <v>14401</v>
      </c>
      <c r="G972" t="s">
        <v>74</v>
      </c>
      <c r="H972" t="s">
        <v>74</v>
      </c>
      <c r="I972" t="s">
        <v>14402</v>
      </c>
      <c r="J972" t="s">
        <v>13994</v>
      </c>
      <c r="K972" t="s">
        <v>74</v>
      </c>
      <c r="L972" t="s">
        <v>74</v>
      </c>
      <c r="M972" t="s">
        <v>78</v>
      </c>
      <c r="N972" t="s">
        <v>12873</v>
      </c>
      <c r="O972" t="s">
        <v>13995</v>
      </c>
      <c r="P972" t="s">
        <v>13996</v>
      </c>
      <c r="Q972" t="s">
        <v>13997</v>
      </c>
      <c r="R972" t="s">
        <v>74</v>
      </c>
      <c r="S972" t="s">
        <v>13998</v>
      </c>
      <c r="T972" t="s">
        <v>74</v>
      </c>
      <c r="U972" t="s">
        <v>14403</v>
      </c>
      <c r="V972" t="s">
        <v>14404</v>
      </c>
      <c r="W972" t="s">
        <v>14405</v>
      </c>
      <c r="X972" t="s">
        <v>5945</v>
      </c>
      <c r="Y972" t="s">
        <v>14406</v>
      </c>
      <c r="Z972" t="s">
        <v>74</v>
      </c>
      <c r="AA972" t="s">
        <v>74</v>
      </c>
      <c r="AB972" t="s">
        <v>74</v>
      </c>
      <c r="AC972" t="s">
        <v>74</v>
      </c>
      <c r="AD972" t="s">
        <v>74</v>
      </c>
      <c r="AE972" t="s">
        <v>74</v>
      </c>
      <c r="AF972" t="s">
        <v>74</v>
      </c>
      <c r="AG972">
        <v>19</v>
      </c>
      <c r="AH972">
        <v>14</v>
      </c>
      <c r="AI972">
        <v>14</v>
      </c>
      <c r="AJ972">
        <v>0</v>
      </c>
      <c r="AK972">
        <v>7</v>
      </c>
      <c r="AL972" t="s">
        <v>14001</v>
      </c>
      <c r="AM972" t="s">
        <v>14002</v>
      </c>
      <c r="AN972" t="s">
        <v>14003</v>
      </c>
      <c r="AO972" t="s">
        <v>74</v>
      </c>
      <c r="AP972" t="s">
        <v>74</v>
      </c>
      <c r="AQ972" t="s">
        <v>14004</v>
      </c>
      <c r="AR972" t="s">
        <v>74</v>
      </c>
      <c r="AS972" t="s">
        <v>74</v>
      </c>
      <c r="AT972" t="s">
        <v>74</v>
      </c>
      <c r="AU972">
        <v>2006</v>
      </c>
      <c r="AV972" t="s">
        <v>74</v>
      </c>
      <c r="AW972" t="s">
        <v>74</v>
      </c>
      <c r="AX972" t="s">
        <v>74</v>
      </c>
      <c r="AY972" t="s">
        <v>74</v>
      </c>
      <c r="AZ972" t="s">
        <v>74</v>
      </c>
      <c r="BA972" t="s">
        <v>74</v>
      </c>
      <c r="BB972">
        <v>299</v>
      </c>
      <c r="BC972">
        <v>302</v>
      </c>
      <c r="BD972" t="s">
        <v>74</v>
      </c>
      <c r="BE972" t="s">
        <v>14407</v>
      </c>
      <c r="BF972" t="str">
        <f>HYPERLINK("http://dx.doi.org/10.1007/3-540-32934-X_37","http://dx.doi.org/10.1007/3-540-32934-X_37")</f>
        <v>http://dx.doi.org/10.1007/3-540-32934-X_37</v>
      </c>
      <c r="BG972" t="s">
        <v>74</v>
      </c>
      <c r="BH972" t="s">
        <v>74</v>
      </c>
      <c r="BI972">
        <v>4</v>
      </c>
      <c r="BJ972" t="s">
        <v>527</v>
      </c>
      <c r="BK972" t="s">
        <v>12886</v>
      </c>
      <c r="BL972" t="s">
        <v>528</v>
      </c>
      <c r="BM972" t="s">
        <v>14006</v>
      </c>
      <c r="BN972" t="s">
        <v>74</v>
      </c>
      <c r="BO972" t="s">
        <v>74</v>
      </c>
      <c r="BP972" t="s">
        <v>74</v>
      </c>
      <c r="BQ972" t="s">
        <v>74</v>
      </c>
      <c r="BR972" t="s">
        <v>100</v>
      </c>
      <c r="BS972" t="s">
        <v>14408</v>
      </c>
      <c r="BT972" t="str">
        <f>HYPERLINK("https%3A%2F%2Fwww.webofscience.com%2Fwos%2Fwoscc%2Ffull-record%2FWOS:000236632500037","View Full Record in Web of Science")</f>
        <v>View Full Record in Web of Science</v>
      </c>
    </row>
    <row r="973" spans="1:72" x14ac:dyDescent="0.15">
      <c r="A973" t="s">
        <v>12866</v>
      </c>
      <c r="B973" t="s">
        <v>14409</v>
      </c>
      <c r="C973" t="s">
        <v>74</v>
      </c>
      <c r="D973" t="s">
        <v>13992</v>
      </c>
      <c r="E973" t="s">
        <v>74</v>
      </c>
      <c r="F973" t="s">
        <v>14409</v>
      </c>
      <c r="G973" t="s">
        <v>74</v>
      </c>
      <c r="H973" t="s">
        <v>74</v>
      </c>
      <c r="I973" t="s">
        <v>14410</v>
      </c>
      <c r="J973" t="s">
        <v>14016</v>
      </c>
      <c r="K973" t="s">
        <v>74</v>
      </c>
      <c r="L973" t="s">
        <v>74</v>
      </c>
      <c r="M973" t="s">
        <v>78</v>
      </c>
      <c r="N973" t="s">
        <v>12873</v>
      </c>
      <c r="O973" t="s">
        <v>13995</v>
      </c>
      <c r="P973" t="s">
        <v>13996</v>
      </c>
      <c r="Q973" t="s">
        <v>13997</v>
      </c>
      <c r="R973" t="s">
        <v>74</v>
      </c>
      <c r="S973" t="s">
        <v>13998</v>
      </c>
      <c r="T973" t="s">
        <v>74</v>
      </c>
      <c r="U973" t="s">
        <v>14411</v>
      </c>
      <c r="V973" t="s">
        <v>14412</v>
      </c>
      <c r="W973" t="s">
        <v>14413</v>
      </c>
      <c r="X973" t="s">
        <v>3850</v>
      </c>
      <c r="Y973" t="s">
        <v>14414</v>
      </c>
      <c r="Z973" t="s">
        <v>14415</v>
      </c>
      <c r="AA973" t="s">
        <v>74</v>
      </c>
      <c r="AB973" t="s">
        <v>74</v>
      </c>
      <c r="AC973" t="s">
        <v>14416</v>
      </c>
      <c r="AD973" t="s">
        <v>14416</v>
      </c>
      <c r="AE973" t="s">
        <v>14417</v>
      </c>
      <c r="AF973" t="s">
        <v>74</v>
      </c>
      <c r="AG973">
        <v>22</v>
      </c>
      <c r="AH973">
        <v>22</v>
      </c>
      <c r="AI973">
        <v>25</v>
      </c>
      <c r="AJ973">
        <v>0</v>
      </c>
      <c r="AK973">
        <v>1</v>
      </c>
      <c r="AL973" t="s">
        <v>14001</v>
      </c>
      <c r="AM973" t="s">
        <v>14002</v>
      </c>
      <c r="AN973" t="s">
        <v>14003</v>
      </c>
      <c r="AO973" t="s">
        <v>74</v>
      </c>
      <c r="AP973" t="s">
        <v>74</v>
      </c>
      <c r="AQ973" t="s">
        <v>14004</v>
      </c>
      <c r="AR973" t="s">
        <v>74</v>
      </c>
      <c r="AS973" t="s">
        <v>74</v>
      </c>
      <c r="AT973" t="s">
        <v>74</v>
      </c>
      <c r="AU973">
        <v>2006</v>
      </c>
      <c r="AV973" t="s">
        <v>74</v>
      </c>
      <c r="AW973" t="s">
        <v>74</v>
      </c>
      <c r="AX973" t="s">
        <v>74</v>
      </c>
      <c r="AY973" t="s">
        <v>74</v>
      </c>
      <c r="AZ973" t="s">
        <v>74</v>
      </c>
      <c r="BA973" t="s">
        <v>74</v>
      </c>
      <c r="BB973">
        <v>303</v>
      </c>
      <c r="BC973" t="s">
        <v>7504</v>
      </c>
      <c r="BD973" t="s">
        <v>74</v>
      </c>
      <c r="BE973" t="s">
        <v>14418</v>
      </c>
      <c r="BF973" t="str">
        <f>HYPERLINK("http://dx.doi.org/10.1007/3-540-32934-X_38","http://dx.doi.org/10.1007/3-540-32934-X_38")</f>
        <v>http://dx.doi.org/10.1007/3-540-32934-X_38</v>
      </c>
      <c r="BG973" t="s">
        <v>74</v>
      </c>
      <c r="BH973" t="s">
        <v>74</v>
      </c>
      <c r="BI973">
        <v>2</v>
      </c>
      <c r="BJ973" t="s">
        <v>527</v>
      </c>
      <c r="BK973" t="s">
        <v>12886</v>
      </c>
      <c r="BL973" t="s">
        <v>528</v>
      </c>
      <c r="BM973" t="s">
        <v>14006</v>
      </c>
      <c r="BN973" t="s">
        <v>74</v>
      </c>
      <c r="BO973" t="s">
        <v>74</v>
      </c>
      <c r="BP973" t="s">
        <v>74</v>
      </c>
      <c r="BQ973" t="s">
        <v>74</v>
      </c>
      <c r="BR973" t="s">
        <v>100</v>
      </c>
      <c r="BS973" t="s">
        <v>14419</v>
      </c>
      <c r="BT973" t="str">
        <f>HYPERLINK("https%3A%2F%2Fwww.webofscience.com%2Fwos%2Fwoscc%2Ffull-record%2FWOS:000236632500038","View Full Record in Web of Science")</f>
        <v>View Full Record in Web of Science</v>
      </c>
    </row>
    <row r="974" spans="1:72" x14ac:dyDescent="0.15">
      <c r="A974" t="s">
        <v>12866</v>
      </c>
      <c r="B974" t="s">
        <v>14420</v>
      </c>
      <c r="C974" t="s">
        <v>74</v>
      </c>
      <c r="D974" t="s">
        <v>13992</v>
      </c>
      <c r="E974" t="s">
        <v>74</v>
      </c>
      <c r="F974" t="s">
        <v>14420</v>
      </c>
      <c r="G974" t="s">
        <v>74</v>
      </c>
      <c r="H974" t="s">
        <v>74</v>
      </c>
      <c r="I974" t="s">
        <v>14421</v>
      </c>
      <c r="J974" t="s">
        <v>14016</v>
      </c>
      <c r="K974" t="s">
        <v>74</v>
      </c>
      <c r="L974" t="s">
        <v>74</v>
      </c>
      <c r="M974" t="s">
        <v>78</v>
      </c>
      <c r="N974" t="s">
        <v>12873</v>
      </c>
      <c r="O974" t="s">
        <v>13995</v>
      </c>
      <c r="P974" t="s">
        <v>13996</v>
      </c>
      <c r="Q974" t="s">
        <v>13997</v>
      </c>
      <c r="R974" t="s">
        <v>74</v>
      </c>
      <c r="S974" t="s">
        <v>13998</v>
      </c>
      <c r="T974" t="s">
        <v>74</v>
      </c>
      <c r="U974" t="s">
        <v>14422</v>
      </c>
      <c r="V974" t="s">
        <v>14423</v>
      </c>
      <c r="W974" t="s">
        <v>14424</v>
      </c>
      <c r="X974" t="s">
        <v>14425</v>
      </c>
      <c r="Y974" t="s">
        <v>14426</v>
      </c>
      <c r="Z974" t="s">
        <v>14427</v>
      </c>
      <c r="AA974" t="s">
        <v>74</v>
      </c>
      <c r="AB974" t="s">
        <v>74</v>
      </c>
      <c r="AC974" t="s">
        <v>14428</v>
      </c>
      <c r="AD974" t="s">
        <v>14429</v>
      </c>
      <c r="AE974" t="s">
        <v>14430</v>
      </c>
      <c r="AF974" t="s">
        <v>74</v>
      </c>
      <c r="AG974">
        <v>21</v>
      </c>
      <c r="AH974">
        <v>30</v>
      </c>
      <c r="AI974">
        <v>41</v>
      </c>
      <c r="AJ974">
        <v>0</v>
      </c>
      <c r="AK974">
        <v>3</v>
      </c>
      <c r="AL974" t="s">
        <v>14001</v>
      </c>
      <c r="AM974" t="s">
        <v>14002</v>
      </c>
      <c r="AN974" t="s">
        <v>14003</v>
      </c>
      <c r="AO974" t="s">
        <v>74</v>
      </c>
      <c r="AP974" t="s">
        <v>74</v>
      </c>
      <c r="AQ974" t="s">
        <v>14004</v>
      </c>
      <c r="AR974" t="s">
        <v>74</v>
      </c>
      <c r="AS974" t="s">
        <v>74</v>
      </c>
      <c r="AT974" t="s">
        <v>74</v>
      </c>
      <c r="AU974">
        <v>2006</v>
      </c>
      <c r="AV974" t="s">
        <v>74</v>
      </c>
      <c r="AW974" t="s">
        <v>74</v>
      </c>
      <c r="AX974" t="s">
        <v>74</v>
      </c>
      <c r="AY974" t="s">
        <v>74</v>
      </c>
      <c r="AZ974" t="s">
        <v>74</v>
      </c>
      <c r="BA974" t="s">
        <v>74</v>
      </c>
      <c r="BB974">
        <v>309</v>
      </c>
      <c r="BC974" t="s">
        <v>7504</v>
      </c>
      <c r="BD974" t="s">
        <v>74</v>
      </c>
      <c r="BE974" t="s">
        <v>14431</v>
      </c>
      <c r="BF974" t="str">
        <f>HYPERLINK("http://dx.doi.org/10.1007/3-540-32934-X_39","http://dx.doi.org/10.1007/3-540-32934-X_39")</f>
        <v>http://dx.doi.org/10.1007/3-540-32934-X_39</v>
      </c>
      <c r="BG974" t="s">
        <v>74</v>
      </c>
      <c r="BH974" t="s">
        <v>74</v>
      </c>
      <c r="BI974">
        <v>3</v>
      </c>
      <c r="BJ974" t="s">
        <v>527</v>
      </c>
      <c r="BK974" t="s">
        <v>12886</v>
      </c>
      <c r="BL974" t="s">
        <v>528</v>
      </c>
      <c r="BM974" t="s">
        <v>14006</v>
      </c>
      <c r="BN974" t="s">
        <v>74</v>
      </c>
      <c r="BO974" t="s">
        <v>74</v>
      </c>
      <c r="BP974" t="s">
        <v>74</v>
      </c>
      <c r="BQ974" t="s">
        <v>74</v>
      </c>
      <c r="BR974" t="s">
        <v>100</v>
      </c>
      <c r="BS974" t="s">
        <v>14432</v>
      </c>
      <c r="BT974" t="str">
        <f>HYPERLINK("https%3A%2F%2Fwww.webofscience.com%2Fwos%2Fwoscc%2Ffull-record%2FWOS:000236632500039","View Full Record in Web of Science")</f>
        <v>View Full Record in Web of Science</v>
      </c>
    </row>
    <row r="975" spans="1:72" x14ac:dyDescent="0.15">
      <c r="A975" t="s">
        <v>12866</v>
      </c>
      <c r="B975" t="s">
        <v>14433</v>
      </c>
      <c r="C975" t="s">
        <v>74</v>
      </c>
      <c r="D975" t="s">
        <v>13992</v>
      </c>
      <c r="E975" t="s">
        <v>74</v>
      </c>
      <c r="F975" t="s">
        <v>14433</v>
      </c>
      <c r="G975" t="s">
        <v>74</v>
      </c>
      <c r="H975" t="s">
        <v>74</v>
      </c>
      <c r="I975" t="s">
        <v>14434</v>
      </c>
      <c r="J975" t="s">
        <v>14016</v>
      </c>
      <c r="K975" t="s">
        <v>74</v>
      </c>
      <c r="L975" t="s">
        <v>74</v>
      </c>
      <c r="M975" t="s">
        <v>78</v>
      </c>
      <c r="N975" t="s">
        <v>12873</v>
      </c>
      <c r="O975" t="s">
        <v>13995</v>
      </c>
      <c r="P975" t="s">
        <v>13996</v>
      </c>
      <c r="Q975" t="s">
        <v>13997</v>
      </c>
      <c r="R975" t="s">
        <v>74</v>
      </c>
      <c r="S975" t="s">
        <v>13998</v>
      </c>
      <c r="T975" t="s">
        <v>74</v>
      </c>
      <c r="U975" t="s">
        <v>14435</v>
      </c>
      <c r="V975" t="s">
        <v>14436</v>
      </c>
      <c r="W975" t="s">
        <v>14437</v>
      </c>
      <c r="X975" t="s">
        <v>14438</v>
      </c>
      <c r="Y975" t="s">
        <v>14439</v>
      </c>
      <c r="Z975" t="s">
        <v>14440</v>
      </c>
      <c r="AA975" t="s">
        <v>14441</v>
      </c>
      <c r="AB975" t="s">
        <v>14442</v>
      </c>
      <c r="AC975" t="s">
        <v>14443</v>
      </c>
      <c r="AD975" t="s">
        <v>14246</v>
      </c>
      <c r="AE975" t="s">
        <v>14444</v>
      </c>
      <c r="AF975" t="s">
        <v>74</v>
      </c>
      <c r="AG975">
        <v>25</v>
      </c>
      <c r="AH975">
        <v>24</v>
      </c>
      <c r="AI975">
        <v>29</v>
      </c>
      <c r="AJ975">
        <v>0</v>
      </c>
      <c r="AK975">
        <v>2</v>
      </c>
      <c r="AL975" t="s">
        <v>14001</v>
      </c>
      <c r="AM975" t="s">
        <v>14002</v>
      </c>
      <c r="AN975" t="s">
        <v>14003</v>
      </c>
      <c r="AO975" t="s">
        <v>74</v>
      </c>
      <c r="AP975" t="s">
        <v>74</v>
      </c>
      <c r="AQ975" t="s">
        <v>14004</v>
      </c>
      <c r="AR975" t="s">
        <v>74</v>
      </c>
      <c r="AS975" t="s">
        <v>74</v>
      </c>
      <c r="AT975" t="s">
        <v>74</v>
      </c>
      <c r="AU975">
        <v>2006</v>
      </c>
      <c r="AV975" t="s">
        <v>74</v>
      </c>
      <c r="AW975" t="s">
        <v>74</v>
      </c>
      <c r="AX975" t="s">
        <v>74</v>
      </c>
      <c r="AY975" t="s">
        <v>74</v>
      </c>
      <c r="AZ975" t="s">
        <v>74</v>
      </c>
      <c r="BA975" t="s">
        <v>74</v>
      </c>
      <c r="BB975">
        <v>319</v>
      </c>
      <c r="BC975" t="s">
        <v>7504</v>
      </c>
      <c r="BD975" t="s">
        <v>74</v>
      </c>
      <c r="BE975" t="s">
        <v>14445</v>
      </c>
      <c r="BF975" t="str">
        <f>HYPERLINK("http://dx.doi.org/10.1007/3-540-32934-X_40","http://dx.doi.org/10.1007/3-540-32934-X_40")</f>
        <v>http://dx.doi.org/10.1007/3-540-32934-X_40</v>
      </c>
      <c r="BG975" t="s">
        <v>74</v>
      </c>
      <c r="BH975" t="s">
        <v>74</v>
      </c>
      <c r="BI975">
        <v>3</v>
      </c>
      <c r="BJ975" t="s">
        <v>527</v>
      </c>
      <c r="BK975" t="s">
        <v>12886</v>
      </c>
      <c r="BL975" t="s">
        <v>528</v>
      </c>
      <c r="BM975" t="s">
        <v>14006</v>
      </c>
      <c r="BN975" t="s">
        <v>74</v>
      </c>
      <c r="BO975" t="s">
        <v>74</v>
      </c>
      <c r="BP975" t="s">
        <v>74</v>
      </c>
      <c r="BQ975" t="s">
        <v>74</v>
      </c>
      <c r="BR975" t="s">
        <v>100</v>
      </c>
      <c r="BS975" t="s">
        <v>14446</v>
      </c>
      <c r="BT975" t="str">
        <f>HYPERLINK("https%3A%2F%2Fwww.webofscience.com%2Fwos%2Fwoscc%2Ffull-record%2FWOS:000236632500040","View Full Record in Web of Science")</f>
        <v>View Full Record in Web of Science</v>
      </c>
    </row>
    <row r="976" spans="1:72" x14ac:dyDescent="0.15">
      <c r="A976" t="s">
        <v>12866</v>
      </c>
      <c r="B976" t="s">
        <v>14447</v>
      </c>
      <c r="C976" t="s">
        <v>74</v>
      </c>
      <c r="D976" t="s">
        <v>13992</v>
      </c>
      <c r="E976" t="s">
        <v>74</v>
      </c>
      <c r="F976" t="s">
        <v>14447</v>
      </c>
      <c r="G976" t="s">
        <v>74</v>
      </c>
      <c r="H976" t="s">
        <v>74</v>
      </c>
      <c r="I976" t="s">
        <v>14448</v>
      </c>
      <c r="J976" t="s">
        <v>14016</v>
      </c>
      <c r="K976" t="s">
        <v>74</v>
      </c>
      <c r="L976" t="s">
        <v>74</v>
      </c>
      <c r="M976" t="s">
        <v>78</v>
      </c>
      <c r="N976" t="s">
        <v>12873</v>
      </c>
      <c r="O976" t="s">
        <v>13995</v>
      </c>
      <c r="P976" t="s">
        <v>13996</v>
      </c>
      <c r="Q976" t="s">
        <v>13997</v>
      </c>
      <c r="R976" t="s">
        <v>74</v>
      </c>
      <c r="S976" t="s">
        <v>13998</v>
      </c>
      <c r="T976" t="s">
        <v>74</v>
      </c>
      <c r="U976" t="s">
        <v>14449</v>
      </c>
      <c r="V976" t="s">
        <v>14450</v>
      </c>
      <c r="W976" t="s">
        <v>14451</v>
      </c>
      <c r="X976" t="s">
        <v>14452</v>
      </c>
      <c r="Y976" t="s">
        <v>14453</v>
      </c>
      <c r="Z976" t="s">
        <v>74</v>
      </c>
      <c r="AA976" t="s">
        <v>14454</v>
      </c>
      <c r="AB976" t="s">
        <v>14455</v>
      </c>
      <c r="AC976" t="s">
        <v>74</v>
      </c>
      <c r="AD976" t="s">
        <v>74</v>
      </c>
      <c r="AE976" t="s">
        <v>74</v>
      </c>
      <c r="AF976" t="s">
        <v>74</v>
      </c>
      <c r="AG976">
        <v>24</v>
      </c>
      <c r="AH976">
        <v>35</v>
      </c>
      <c r="AI976">
        <v>38</v>
      </c>
      <c r="AJ976">
        <v>0</v>
      </c>
      <c r="AK976">
        <v>4</v>
      </c>
      <c r="AL976" t="s">
        <v>14001</v>
      </c>
      <c r="AM976" t="s">
        <v>14002</v>
      </c>
      <c r="AN976" t="s">
        <v>14003</v>
      </c>
      <c r="AO976" t="s">
        <v>74</v>
      </c>
      <c r="AP976" t="s">
        <v>74</v>
      </c>
      <c r="AQ976" t="s">
        <v>14004</v>
      </c>
      <c r="AR976" t="s">
        <v>74</v>
      </c>
      <c r="AS976" t="s">
        <v>74</v>
      </c>
      <c r="AT976" t="s">
        <v>74</v>
      </c>
      <c r="AU976">
        <v>2006</v>
      </c>
      <c r="AV976" t="s">
        <v>74</v>
      </c>
      <c r="AW976" t="s">
        <v>74</v>
      </c>
      <c r="AX976" t="s">
        <v>74</v>
      </c>
      <c r="AY976" t="s">
        <v>74</v>
      </c>
      <c r="AZ976" t="s">
        <v>74</v>
      </c>
      <c r="BA976" t="s">
        <v>74</v>
      </c>
      <c r="BB976">
        <v>327</v>
      </c>
      <c r="BC976" t="s">
        <v>7504</v>
      </c>
      <c r="BD976" t="s">
        <v>74</v>
      </c>
      <c r="BE976" t="s">
        <v>14456</v>
      </c>
      <c r="BF976" t="str">
        <f>HYPERLINK("http://dx.doi.org/10.1007/3-540-32934-X_41","http://dx.doi.org/10.1007/3-540-32934-X_41")</f>
        <v>http://dx.doi.org/10.1007/3-540-32934-X_41</v>
      </c>
      <c r="BG976" t="s">
        <v>74</v>
      </c>
      <c r="BH976" t="s">
        <v>74</v>
      </c>
      <c r="BI976">
        <v>3</v>
      </c>
      <c r="BJ976" t="s">
        <v>527</v>
      </c>
      <c r="BK976" t="s">
        <v>12886</v>
      </c>
      <c r="BL976" t="s">
        <v>528</v>
      </c>
      <c r="BM976" t="s">
        <v>14006</v>
      </c>
      <c r="BN976" t="s">
        <v>74</v>
      </c>
      <c r="BO976" t="s">
        <v>74</v>
      </c>
      <c r="BP976" t="s">
        <v>74</v>
      </c>
      <c r="BQ976" t="s">
        <v>74</v>
      </c>
      <c r="BR976" t="s">
        <v>100</v>
      </c>
      <c r="BS976" t="s">
        <v>14457</v>
      </c>
      <c r="BT976" t="str">
        <f>HYPERLINK("https%3A%2F%2Fwww.webofscience.com%2Fwos%2Fwoscc%2Ffull-record%2FWOS:000236632500041","View Full Record in Web of Science")</f>
        <v>View Full Record in Web of Science</v>
      </c>
    </row>
    <row r="977" spans="1:72" x14ac:dyDescent="0.15">
      <c r="A977" t="s">
        <v>12866</v>
      </c>
      <c r="B977" t="s">
        <v>14458</v>
      </c>
      <c r="C977" t="s">
        <v>74</v>
      </c>
      <c r="D977" t="s">
        <v>13992</v>
      </c>
      <c r="E977" t="s">
        <v>74</v>
      </c>
      <c r="F977" t="s">
        <v>14458</v>
      </c>
      <c r="G977" t="s">
        <v>74</v>
      </c>
      <c r="H977" t="s">
        <v>74</v>
      </c>
      <c r="I977" t="s">
        <v>14459</v>
      </c>
      <c r="J977" t="s">
        <v>14016</v>
      </c>
      <c r="K977" t="s">
        <v>74</v>
      </c>
      <c r="L977" t="s">
        <v>74</v>
      </c>
      <c r="M977" t="s">
        <v>78</v>
      </c>
      <c r="N977" t="s">
        <v>12873</v>
      </c>
      <c r="O977" t="s">
        <v>13995</v>
      </c>
      <c r="P977" t="s">
        <v>13996</v>
      </c>
      <c r="Q977" t="s">
        <v>13997</v>
      </c>
      <c r="R977" t="s">
        <v>74</v>
      </c>
      <c r="S977" t="s">
        <v>13998</v>
      </c>
      <c r="T977" t="s">
        <v>74</v>
      </c>
      <c r="U977" t="s">
        <v>14460</v>
      </c>
      <c r="V977" t="s">
        <v>14461</v>
      </c>
      <c r="W977" t="s">
        <v>14462</v>
      </c>
      <c r="X977" t="s">
        <v>14463</v>
      </c>
      <c r="Y977" t="s">
        <v>14464</v>
      </c>
      <c r="Z977" t="s">
        <v>14465</v>
      </c>
      <c r="AA977" t="s">
        <v>74</v>
      </c>
      <c r="AB977" t="s">
        <v>74</v>
      </c>
      <c r="AC977" t="s">
        <v>74</v>
      </c>
      <c r="AD977" t="s">
        <v>74</v>
      </c>
      <c r="AE977" t="s">
        <v>74</v>
      </c>
      <c r="AF977" t="s">
        <v>74</v>
      </c>
      <c r="AG977">
        <v>20</v>
      </c>
      <c r="AH977">
        <v>9</v>
      </c>
      <c r="AI977">
        <v>9</v>
      </c>
      <c r="AJ977">
        <v>0</v>
      </c>
      <c r="AK977">
        <v>2</v>
      </c>
      <c r="AL977" t="s">
        <v>14001</v>
      </c>
      <c r="AM977" t="s">
        <v>14002</v>
      </c>
      <c r="AN977" t="s">
        <v>14003</v>
      </c>
      <c r="AO977" t="s">
        <v>74</v>
      </c>
      <c r="AP977" t="s">
        <v>74</v>
      </c>
      <c r="AQ977" t="s">
        <v>14004</v>
      </c>
      <c r="AR977" t="s">
        <v>74</v>
      </c>
      <c r="AS977" t="s">
        <v>74</v>
      </c>
      <c r="AT977" t="s">
        <v>74</v>
      </c>
      <c r="AU977">
        <v>2006</v>
      </c>
      <c r="AV977" t="s">
        <v>74</v>
      </c>
      <c r="AW977" t="s">
        <v>74</v>
      </c>
      <c r="AX977" t="s">
        <v>74</v>
      </c>
      <c r="AY977" t="s">
        <v>74</v>
      </c>
      <c r="AZ977" t="s">
        <v>74</v>
      </c>
      <c r="BA977" t="s">
        <v>74</v>
      </c>
      <c r="BB977">
        <v>341</v>
      </c>
      <c r="BC977" t="s">
        <v>7504</v>
      </c>
      <c r="BD977" t="s">
        <v>74</v>
      </c>
      <c r="BE977" t="s">
        <v>14466</v>
      </c>
      <c r="BF977" t="str">
        <f>HYPERLINK("http://dx.doi.org/10.1007/3-540-32934-X_42","http://dx.doi.org/10.1007/3-540-32934-X_42")</f>
        <v>http://dx.doi.org/10.1007/3-540-32934-X_42</v>
      </c>
      <c r="BG977" t="s">
        <v>74</v>
      </c>
      <c r="BH977" t="s">
        <v>74</v>
      </c>
      <c r="BI977">
        <v>2</v>
      </c>
      <c r="BJ977" t="s">
        <v>527</v>
      </c>
      <c r="BK977" t="s">
        <v>12886</v>
      </c>
      <c r="BL977" t="s">
        <v>528</v>
      </c>
      <c r="BM977" t="s">
        <v>14006</v>
      </c>
      <c r="BN977" t="s">
        <v>74</v>
      </c>
      <c r="BO977" t="s">
        <v>74</v>
      </c>
      <c r="BP977" t="s">
        <v>74</v>
      </c>
      <c r="BQ977" t="s">
        <v>74</v>
      </c>
      <c r="BR977" t="s">
        <v>100</v>
      </c>
      <c r="BS977" t="s">
        <v>14467</v>
      </c>
      <c r="BT977" t="str">
        <f>HYPERLINK("https%3A%2F%2Fwww.webofscience.com%2Fwos%2Fwoscc%2Ffull-record%2FWOS:000236632500042","View Full Record in Web of Science")</f>
        <v>View Full Record in Web of Science</v>
      </c>
    </row>
    <row r="978" spans="1:72" x14ac:dyDescent="0.15">
      <c r="A978" t="s">
        <v>12866</v>
      </c>
      <c r="B978" t="s">
        <v>7748</v>
      </c>
      <c r="C978" t="s">
        <v>74</v>
      </c>
      <c r="D978" t="s">
        <v>13992</v>
      </c>
      <c r="E978" t="s">
        <v>74</v>
      </c>
      <c r="F978" t="s">
        <v>7748</v>
      </c>
      <c r="G978" t="s">
        <v>74</v>
      </c>
      <c r="H978" t="s">
        <v>74</v>
      </c>
      <c r="I978" t="s">
        <v>14468</v>
      </c>
      <c r="J978" t="s">
        <v>14016</v>
      </c>
      <c r="K978" t="s">
        <v>74</v>
      </c>
      <c r="L978" t="s">
        <v>74</v>
      </c>
      <c r="M978" t="s">
        <v>78</v>
      </c>
      <c r="N978" t="s">
        <v>12873</v>
      </c>
      <c r="O978" t="s">
        <v>13995</v>
      </c>
      <c r="P978" t="s">
        <v>13996</v>
      </c>
      <c r="Q978" t="s">
        <v>13997</v>
      </c>
      <c r="R978" t="s">
        <v>74</v>
      </c>
      <c r="S978" t="s">
        <v>13998</v>
      </c>
      <c r="T978" t="s">
        <v>74</v>
      </c>
      <c r="U978" t="s">
        <v>14469</v>
      </c>
      <c r="V978" t="s">
        <v>14470</v>
      </c>
      <c r="W978" t="s">
        <v>7753</v>
      </c>
      <c r="X978" t="s">
        <v>3750</v>
      </c>
      <c r="Y978" t="s">
        <v>7754</v>
      </c>
      <c r="Z978" t="s">
        <v>7755</v>
      </c>
      <c r="AA978" t="s">
        <v>7756</v>
      </c>
      <c r="AB978" t="s">
        <v>7757</v>
      </c>
      <c r="AC978" t="s">
        <v>74</v>
      </c>
      <c r="AD978" t="s">
        <v>74</v>
      </c>
      <c r="AE978" t="s">
        <v>74</v>
      </c>
      <c r="AF978" t="s">
        <v>74</v>
      </c>
      <c r="AG978">
        <v>19</v>
      </c>
      <c r="AH978">
        <v>10</v>
      </c>
      <c r="AI978">
        <v>10</v>
      </c>
      <c r="AJ978">
        <v>0</v>
      </c>
      <c r="AK978">
        <v>2</v>
      </c>
      <c r="AL978" t="s">
        <v>14001</v>
      </c>
      <c r="AM978" t="s">
        <v>14002</v>
      </c>
      <c r="AN978" t="s">
        <v>14003</v>
      </c>
      <c r="AO978" t="s">
        <v>74</v>
      </c>
      <c r="AP978" t="s">
        <v>74</v>
      </c>
      <c r="AQ978" t="s">
        <v>14004</v>
      </c>
      <c r="AR978" t="s">
        <v>74</v>
      </c>
      <c r="AS978" t="s">
        <v>74</v>
      </c>
      <c r="AT978" t="s">
        <v>74</v>
      </c>
      <c r="AU978">
        <v>2006</v>
      </c>
      <c r="AV978" t="s">
        <v>74</v>
      </c>
      <c r="AW978" t="s">
        <v>74</v>
      </c>
      <c r="AX978" t="s">
        <v>74</v>
      </c>
      <c r="AY978" t="s">
        <v>74</v>
      </c>
      <c r="AZ978" t="s">
        <v>74</v>
      </c>
      <c r="BA978" t="s">
        <v>74</v>
      </c>
      <c r="BB978">
        <v>351</v>
      </c>
      <c r="BC978">
        <v>355</v>
      </c>
      <c r="BD978" t="s">
        <v>74</v>
      </c>
      <c r="BE978" t="s">
        <v>14471</v>
      </c>
      <c r="BF978" t="str">
        <f>HYPERLINK("http://dx.doi.org/10.1007/3-540-32934-X_43","http://dx.doi.org/10.1007/3-540-32934-X_43")</f>
        <v>http://dx.doi.org/10.1007/3-540-32934-X_43</v>
      </c>
      <c r="BG978" t="s">
        <v>74</v>
      </c>
      <c r="BH978" t="s">
        <v>74</v>
      </c>
      <c r="BI978">
        <v>5</v>
      </c>
      <c r="BJ978" t="s">
        <v>527</v>
      </c>
      <c r="BK978" t="s">
        <v>12886</v>
      </c>
      <c r="BL978" t="s">
        <v>528</v>
      </c>
      <c r="BM978" t="s">
        <v>14006</v>
      </c>
      <c r="BN978" t="s">
        <v>74</v>
      </c>
      <c r="BO978" t="s">
        <v>74</v>
      </c>
      <c r="BP978" t="s">
        <v>74</v>
      </c>
      <c r="BQ978" t="s">
        <v>74</v>
      </c>
      <c r="BR978" t="s">
        <v>100</v>
      </c>
      <c r="BS978" t="s">
        <v>14472</v>
      </c>
      <c r="BT978" t="str">
        <f>HYPERLINK("https%3A%2F%2Fwww.webofscience.com%2Fwos%2Fwoscc%2Ffull-record%2FWOS:000236632500043","View Full Record in Web of Science")</f>
        <v>View Full Record in Web of Science</v>
      </c>
    </row>
    <row r="979" spans="1:72" x14ac:dyDescent="0.15">
      <c r="A979" t="s">
        <v>12866</v>
      </c>
      <c r="B979" t="s">
        <v>14473</v>
      </c>
      <c r="C979" t="s">
        <v>74</v>
      </c>
      <c r="D979" t="s">
        <v>13992</v>
      </c>
      <c r="E979" t="s">
        <v>74</v>
      </c>
      <c r="F979" t="s">
        <v>14473</v>
      </c>
      <c r="G979" t="s">
        <v>74</v>
      </c>
      <c r="H979" t="s">
        <v>74</v>
      </c>
      <c r="I979" t="s">
        <v>14474</v>
      </c>
      <c r="J979" t="s">
        <v>14016</v>
      </c>
      <c r="K979" t="s">
        <v>74</v>
      </c>
      <c r="L979" t="s">
        <v>74</v>
      </c>
      <c r="M979" t="s">
        <v>78</v>
      </c>
      <c r="N979" t="s">
        <v>12873</v>
      </c>
      <c r="O979" t="s">
        <v>13995</v>
      </c>
      <c r="P979" t="s">
        <v>13996</v>
      </c>
      <c r="Q979" t="s">
        <v>13997</v>
      </c>
      <c r="R979" t="s">
        <v>74</v>
      </c>
      <c r="S979" t="s">
        <v>13998</v>
      </c>
      <c r="T979" t="s">
        <v>74</v>
      </c>
      <c r="U979" t="s">
        <v>14475</v>
      </c>
      <c r="V979" t="s">
        <v>14476</v>
      </c>
      <c r="W979" t="s">
        <v>14477</v>
      </c>
      <c r="X979" t="s">
        <v>14478</v>
      </c>
      <c r="Y979" t="s">
        <v>14479</v>
      </c>
      <c r="Z979" t="s">
        <v>14480</v>
      </c>
      <c r="AA979" t="s">
        <v>74</v>
      </c>
      <c r="AB979" t="s">
        <v>14481</v>
      </c>
      <c r="AC979" t="s">
        <v>74</v>
      </c>
      <c r="AD979" t="s">
        <v>74</v>
      </c>
      <c r="AE979" t="s">
        <v>74</v>
      </c>
      <c r="AF979" t="s">
        <v>74</v>
      </c>
      <c r="AG979">
        <v>10</v>
      </c>
      <c r="AH979">
        <v>3</v>
      </c>
      <c r="AI979">
        <v>3</v>
      </c>
      <c r="AJ979">
        <v>0</v>
      </c>
      <c r="AK979">
        <v>0</v>
      </c>
      <c r="AL979" t="s">
        <v>14001</v>
      </c>
      <c r="AM979" t="s">
        <v>14002</v>
      </c>
      <c r="AN979" t="s">
        <v>14003</v>
      </c>
      <c r="AO979" t="s">
        <v>74</v>
      </c>
      <c r="AP979" t="s">
        <v>74</v>
      </c>
      <c r="AQ979" t="s">
        <v>14004</v>
      </c>
      <c r="AR979" t="s">
        <v>74</v>
      </c>
      <c r="AS979" t="s">
        <v>74</v>
      </c>
      <c r="AT979" t="s">
        <v>74</v>
      </c>
      <c r="AU979">
        <v>2006</v>
      </c>
      <c r="AV979" t="s">
        <v>74</v>
      </c>
      <c r="AW979" t="s">
        <v>74</v>
      </c>
      <c r="AX979" t="s">
        <v>74</v>
      </c>
      <c r="AY979" t="s">
        <v>74</v>
      </c>
      <c r="AZ979" t="s">
        <v>74</v>
      </c>
      <c r="BA979" t="s">
        <v>74</v>
      </c>
      <c r="BB979">
        <v>357</v>
      </c>
      <c r="BC979" t="s">
        <v>7504</v>
      </c>
      <c r="BD979" t="s">
        <v>74</v>
      </c>
      <c r="BE979" t="s">
        <v>14482</v>
      </c>
      <c r="BF979" t="str">
        <f>HYPERLINK("http://dx.doi.org/10.1007/3-540-32934-X_44","http://dx.doi.org/10.1007/3-540-32934-X_44")</f>
        <v>http://dx.doi.org/10.1007/3-540-32934-X_44</v>
      </c>
      <c r="BG979" t="s">
        <v>74</v>
      </c>
      <c r="BH979" t="s">
        <v>74</v>
      </c>
      <c r="BI979">
        <v>2</v>
      </c>
      <c r="BJ979" t="s">
        <v>527</v>
      </c>
      <c r="BK979" t="s">
        <v>12886</v>
      </c>
      <c r="BL979" t="s">
        <v>528</v>
      </c>
      <c r="BM979" t="s">
        <v>14006</v>
      </c>
      <c r="BN979" t="s">
        <v>74</v>
      </c>
      <c r="BO979" t="s">
        <v>74</v>
      </c>
      <c r="BP979" t="s">
        <v>74</v>
      </c>
      <c r="BQ979" t="s">
        <v>74</v>
      </c>
      <c r="BR979" t="s">
        <v>100</v>
      </c>
      <c r="BS979" t="s">
        <v>14483</v>
      </c>
      <c r="BT979" t="str">
        <f>HYPERLINK("https%3A%2F%2Fwww.webofscience.com%2Fwos%2Fwoscc%2Ffull-record%2FWOS:000236632500044","View Full Record in Web of Science")</f>
        <v>View Full Record in Web of Science</v>
      </c>
    </row>
    <row r="980" spans="1:72" x14ac:dyDescent="0.15">
      <c r="A980" t="s">
        <v>12866</v>
      </c>
      <c r="B980" t="s">
        <v>14484</v>
      </c>
      <c r="C980" t="s">
        <v>74</v>
      </c>
      <c r="D980" t="s">
        <v>13992</v>
      </c>
      <c r="E980" t="s">
        <v>74</v>
      </c>
      <c r="F980" t="s">
        <v>14484</v>
      </c>
      <c r="G980" t="s">
        <v>74</v>
      </c>
      <c r="H980" t="s">
        <v>74</v>
      </c>
      <c r="I980" t="s">
        <v>14485</v>
      </c>
      <c r="J980" t="s">
        <v>14016</v>
      </c>
      <c r="K980" t="s">
        <v>74</v>
      </c>
      <c r="L980" t="s">
        <v>74</v>
      </c>
      <c r="M980" t="s">
        <v>78</v>
      </c>
      <c r="N980" t="s">
        <v>12873</v>
      </c>
      <c r="O980" t="s">
        <v>13995</v>
      </c>
      <c r="P980" t="s">
        <v>13996</v>
      </c>
      <c r="Q980" t="s">
        <v>13997</v>
      </c>
      <c r="R980" t="s">
        <v>74</v>
      </c>
      <c r="S980" t="s">
        <v>13998</v>
      </c>
      <c r="T980" t="s">
        <v>74</v>
      </c>
      <c r="U980" t="s">
        <v>74</v>
      </c>
      <c r="V980" t="s">
        <v>14486</v>
      </c>
      <c r="W980" t="s">
        <v>14487</v>
      </c>
      <c r="X980" t="s">
        <v>1418</v>
      </c>
      <c r="Y980" t="s">
        <v>14488</v>
      </c>
      <c r="Z980" t="s">
        <v>14489</v>
      </c>
      <c r="AA980" t="s">
        <v>74</v>
      </c>
      <c r="AB980" t="s">
        <v>74</v>
      </c>
      <c r="AC980" t="s">
        <v>74</v>
      </c>
      <c r="AD980" t="s">
        <v>74</v>
      </c>
      <c r="AE980" t="s">
        <v>74</v>
      </c>
      <c r="AF980" t="s">
        <v>74</v>
      </c>
      <c r="AG980">
        <v>26</v>
      </c>
      <c r="AH980">
        <v>7</v>
      </c>
      <c r="AI980">
        <v>9</v>
      </c>
      <c r="AJ980">
        <v>0</v>
      </c>
      <c r="AK980">
        <v>5</v>
      </c>
      <c r="AL980" t="s">
        <v>14001</v>
      </c>
      <c r="AM980" t="s">
        <v>14002</v>
      </c>
      <c r="AN980" t="s">
        <v>14003</v>
      </c>
      <c r="AO980" t="s">
        <v>74</v>
      </c>
      <c r="AP980" t="s">
        <v>74</v>
      </c>
      <c r="AQ980" t="s">
        <v>14004</v>
      </c>
      <c r="AR980" t="s">
        <v>74</v>
      </c>
      <c r="AS980" t="s">
        <v>74</v>
      </c>
      <c r="AT980" t="s">
        <v>74</v>
      </c>
      <c r="AU980">
        <v>2006</v>
      </c>
      <c r="AV980" t="s">
        <v>74</v>
      </c>
      <c r="AW980" t="s">
        <v>74</v>
      </c>
      <c r="AX980" t="s">
        <v>74</v>
      </c>
      <c r="AY980" t="s">
        <v>74</v>
      </c>
      <c r="AZ980" t="s">
        <v>74</v>
      </c>
      <c r="BA980" t="s">
        <v>74</v>
      </c>
      <c r="BB980">
        <v>361</v>
      </c>
      <c r="BC980" t="s">
        <v>7504</v>
      </c>
      <c r="BD980" t="s">
        <v>74</v>
      </c>
      <c r="BE980" t="s">
        <v>14490</v>
      </c>
      <c r="BF980" t="str">
        <f>HYPERLINK("http://dx.doi.org/10.1007/3-540-32934-X_45","http://dx.doi.org/10.1007/3-540-32934-X_45")</f>
        <v>http://dx.doi.org/10.1007/3-540-32934-X_45</v>
      </c>
      <c r="BG980" t="s">
        <v>74</v>
      </c>
      <c r="BH980" t="s">
        <v>74</v>
      </c>
      <c r="BI980">
        <v>3</v>
      </c>
      <c r="BJ980" t="s">
        <v>527</v>
      </c>
      <c r="BK980" t="s">
        <v>12886</v>
      </c>
      <c r="BL980" t="s">
        <v>528</v>
      </c>
      <c r="BM980" t="s">
        <v>14006</v>
      </c>
      <c r="BN980" t="s">
        <v>74</v>
      </c>
      <c r="BO980" t="s">
        <v>74</v>
      </c>
      <c r="BP980" t="s">
        <v>74</v>
      </c>
      <c r="BQ980" t="s">
        <v>74</v>
      </c>
      <c r="BR980" t="s">
        <v>100</v>
      </c>
      <c r="BS980" t="s">
        <v>14491</v>
      </c>
      <c r="BT980" t="str">
        <f>HYPERLINK("https%3A%2F%2Fwww.webofscience.com%2Fwos%2Fwoscc%2Ffull-record%2FWOS:000236632500045","View Full Record in Web of Science")</f>
        <v>View Full Record in Web of Science</v>
      </c>
    </row>
    <row r="981" spans="1:72" x14ac:dyDescent="0.15">
      <c r="A981" t="s">
        <v>12866</v>
      </c>
      <c r="B981" t="s">
        <v>14492</v>
      </c>
      <c r="C981" t="s">
        <v>74</v>
      </c>
      <c r="D981" t="s">
        <v>13992</v>
      </c>
      <c r="E981" t="s">
        <v>74</v>
      </c>
      <c r="F981" t="s">
        <v>14492</v>
      </c>
      <c r="G981" t="s">
        <v>74</v>
      </c>
      <c r="H981" t="s">
        <v>74</v>
      </c>
      <c r="I981" t="s">
        <v>14493</v>
      </c>
      <c r="J981" t="s">
        <v>14016</v>
      </c>
      <c r="K981" t="s">
        <v>74</v>
      </c>
      <c r="L981" t="s">
        <v>74</v>
      </c>
      <c r="M981" t="s">
        <v>78</v>
      </c>
      <c r="N981" t="s">
        <v>12873</v>
      </c>
      <c r="O981" t="s">
        <v>13995</v>
      </c>
      <c r="P981" t="s">
        <v>13996</v>
      </c>
      <c r="Q981" t="s">
        <v>13997</v>
      </c>
      <c r="R981" t="s">
        <v>74</v>
      </c>
      <c r="S981" t="s">
        <v>13998</v>
      </c>
      <c r="T981" t="s">
        <v>74</v>
      </c>
      <c r="U981" t="s">
        <v>74</v>
      </c>
      <c r="V981" t="s">
        <v>14494</v>
      </c>
      <c r="W981" t="s">
        <v>14495</v>
      </c>
      <c r="X981" t="s">
        <v>14496</v>
      </c>
      <c r="Y981" t="s">
        <v>14497</v>
      </c>
      <c r="Z981" t="s">
        <v>14498</v>
      </c>
      <c r="AA981" t="s">
        <v>74</v>
      </c>
      <c r="AB981" t="s">
        <v>74</v>
      </c>
      <c r="AC981" t="s">
        <v>74</v>
      </c>
      <c r="AD981" t="s">
        <v>74</v>
      </c>
      <c r="AE981" t="s">
        <v>74</v>
      </c>
      <c r="AF981" t="s">
        <v>74</v>
      </c>
      <c r="AG981">
        <v>11</v>
      </c>
      <c r="AH981">
        <v>0</v>
      </c>
      <c r="AI981">
        <v>0</v>
      </c>
      <c r="AJ981">
        <v>0</v>
      </c>
      <c r="AK981">
        <v>2</v>
      </c>
      <c r="AL981" t="s">
        <v>14001</v>
      </c>
      <c r="AM981" t="s">
        <v>14002</v>
      </c>
      <c r="AN981" t="s">
        <v>14003</v>
      </c>
      <c r="AO981" t="s">
        <v>74</v>
      </c>
      <c r="AP981" t="s">
        <v>74</v>
      </c>
      <c r="AQ981" t="s">
        <v>14004</v>
      </c>
      <c r="AR981" t="s">
        <v>74</v>
      </c>
      <c r="AS981" t="s">
        <v>74</v>
      </c>
      <c r="AT981" t="s">
        <v>74</v>
      </c>
      <c r="AU981">
        <v>2006</v>
      </c>
      <c r="AV981" t="s">
        <v>74</v>
      </c>
      <c r="AW981" t="s">
        <v>74</v>
      </c>
      <c r="AX981" t="s">
        <v>74</v>
      </c>
      <c r="AY981" t="s">
        <v>74</v>
      </c>
      <c r="AZ981" t="s">
        <v>74</v>
      </c>
      <c r="BA981" t="s">
        <v>74</v>
      </c>
      <c r="BB981">
        <v>369</v>
      </c>
      <c r="BC981" t="s">
        <v>7504</v>
      </c>
      <c r="BD981" t="s">
        <v>74</v>
      </c>
      <c r="BE981" t="s">
        <v>14499</v>
      </c>
      <c r="BF981" t="str">
        <f>HYPERLINK("http://dx.doi.org/10.1007/3-540-32934-X_46","http://dx.doi.org/10.1007/3-540-32934-X_46")</f>
        <v>http://dx.doi.org/10.1007/3-540-32934-X_46</v>
      </c>
      <c r="BG981" t="s">
        <v>74</v>
      </c>
      <c r="BH981" t="s">
        <v>74</v>
      </c>
      <c r="BI981">
        <v>2</v>
      </c>
      <c r="BJ981" t="s">
        <v>527</v>
      </c>
      <c r="BK981" t="s">
        <v>12886</v>
      </c>
      <c r="BL981" t="s">
        <v>528</v>
      </c>
      <c r="BM981" t="s">
        <v>14006</v>
      </c>
      <c r="BN981" t="s">
        <v>74</v>
      </c>
      <c r="BO981" t="s">
        <v>74</v>
      </c>
      <c r="BP981" t="s">
        <v>74</v>
      </c>
      <c r="BQ981" t="s">
        <v>74</v>
      </c>
      <c r="BR981" t="s">
        <v>100</v>
      </c>
      <c r="BS981" t="s">
        <v>14500</v>
      </c>
      <c r="BT981" t="str">
        <f>HYPERLINK("https%3A%2F%2Fwww.webofscience.com%2Fwos%2Fwoscc%2Ffull-record%2FWOS:000236632500046","View Full Record in Web of Science")</f>
        <v>View Full Record in Web of Science</v>
      </c>
    </row>
    <row r="982" spans="1:72" x14ac:dyDescent="0.15">
      <c r="A982" t="s">
        <v>12866</v>
      </c>
      <c r="B982" t="s">
        <v>14501</v>
      </c>
      <c r="C982" t="s">
        <v>74</v>
      </c>
      <c r="D982" t="s">
        <v>13992</v>
      </c>
      <c r="E982" t="s">
        <v>74</v>
      </c>
      <c r="F982" t="s">
        <v>14501</v>
      </c>
      <c r="G982" t="s">
        <v>74</v>
      </c>
      <c r="H982" t="s">
        <v>74</v>
      </c>
      <c r="I982" t="s">
        <v>14502</v>
      </c>
      <c r="J982" t="s">
        <v>14016</v>
      </c>
      <c r="K982" t="s">
        <v>74</v>
      </c>
      <c r="L982" t="s">
        <v>74</v>
      </c>
      <c r="M982" t="s">
        <v>78</v>
      </c>
      <c r="N982" t="s">
        <v>12873</v>
      </c>
      <c r="O982" t="s">
        <v>13995</v>
      </c>
      <c r="P982" t="s">
        <v>13996</v>
      </c>
      <c r="Q982" t="s">
        <v>13997</v>
      </c>
      <c r="R982" t="s">
        <v>74</v>
      </c>
      <c r="S982" t="s">
        <v>13998</v>
      </c>
      <c r="T982" t="s">
        <v>74</v>
      </c>
      <c r="U982" t="s">
        <v>14503</v>
      </c>
      <c r="V982" t="s">
        <v>14504</v>
      </c>
      <c r="W982" t="s">
        <v>14505</v>
      </c>
      <c r="X982" t="s">
        <v>14506</v>
      </c>
      <c r="Y982" t="s">
        <v>14507</v>
      </c>
      <c r="Z982" t="s">
        <v>14508</v>
      </c>
      <c r="AA982" t="s">
        <v>74</v>
      </c>
      <c r="AB982" t="s">
        <v>74</v>
      </c>
      <c r="AC982" t="s">
        <v>74</v>
      </c>
      <c r="AD982" t="s">
        <v>74</v>
      </c>
      <c r="AE982" t="s">
        <v>74</v>
      </c>
      <c r="AF982" t="s">
        <v>74</v>
      </c>
      <c r="AG982">
        <v>12</v>
      </c>
      <c r="AH982">
        <v>1</v>
      </c>
      <c r="AI982">
        <v>1</v>
      </c>
      <c r="AJ982">
        <v>0</v>
      </c>
      <c r="AK982">
        <v>1</v>
      </c>
      <c r="AL982" t="s">
        <v>14001</v>
      </c>
      <c r="AM982" t="s">
        <v>14002</v>
      </c>
      <c r="AN982" t="s">
        <v>14003</v>
      </c>
      <c r="AO982" t="s">
        <v>74</v>
      </c>
      <c r="AP982" t="s">
        <v>74</v>
      </c>
      <c r="AQ982" t="s">
        <v>14004</v>
      </c>
      <c r="AR982" t="s">
        <v>74</v>
      </c>
      <c r="AS982" t="s">
        <v>74</v>
      </c>
      <c r="AT982" t="s">
        <v>74</v>
      </c>
      <c r="AU982">
        <v>2006</v>
      </c>
      <c r="AV982" t="s">
        <v>74</v>
      </c>
      <c r="AW982" t="s">
        <v>74</v>
      </c>
      <c r="AX982" t="s">
        <v>74</v>
      </c>
      <c r="AY982" t="s">
        <v>74</v>
      </c>
      <c r="AZ982" t="s">
        <v>74</v>
      </c>
      <c r="BA982" t="s">
        <v>74</v>
      </c>
      <c r="BB982">
        <v>377</v>
      </c>
      <c r="BC982" t="s">
        <v>7504</v>
      </c>
      <c r="BD982" t="s">
        <v>74</v>
      </c>
      <c r="BE982" t="s">
        <v>14509</v>
      </c>
      <c r="BF982" t="str">
        <f>HYPERLINK("http://dx.doi.org/10.1007/3-540-32934-X_47","http://dx.doi.org/10.1007/3-540-32934-X_47")</f>
        <v>http://dx.doi.org/10.1007/3-540-32934-X_47</v>
      </c>
      <c r="BG982" t="s">
        <v>74</v>
      </c>
      <c r="BH982" t="s">
        <v>74</v>
      </c>
      <c r="BI982">
        <v>2</v>
      </c>
      <c r="BJ982" t="s">
        <v>527</v>
      </c>
      <c r="BK982" t="s">
        <v>12886</v>
      </c>
      <c r="BL982" t="s">
        <v>528</v>
      </c>
      <c r="BM982" t="s">
        <v>14006</v>
      </c>
      <c r="BN982" t="s">
        <v>74</v>
      </c>
      <c r="BO982" t="s">
        <v>74</v>
      </c>
      <c r="BP982" t="s">
        <v>74</v>
      </c>
      <c r="BQ982" t="s">
        <v>74</v>
      </c>
      <c r="BR982" t="s">
        <v>100</v>
      </c>
      <c r="BS982" t="s">
        <v>14510</v>
      </c>
      <c r="BT982" t="str">
        <f>HYPERLINK("https%3A%2F%2Fwww.webofscience.com%2Fwos%2Fwoscc%2Ffull-record%2FWOS:000236632500047","View Full Record in Web of Science")</f>
        <v>View Full Record in Web of Science</v>
      </c>
    </row>
    <row r="983" spans="1:72" x14ac:dyDescent="0.15">
      <c r="A983" t="s">
        <v>12866</v>
      </c>
      <c r="B983" t="s">
        <v>14511</v>
      </c>
      <c r="C983" t="s">
        <v>74</v>
      </c>
      <c r="D983" t="s">
        <v>13992</v>
      </c>
      <c r="E983" t="s">
        <v>74</v>
      </c>
      <c r="F983" t="s">
        <v>14511</v>
      </c>
      <c r="G983" t="s">
        <v>74</v>
      </c>
      <c r="H983" t="s">
        <v>74</v>
      </c>
      <c r="I983" t="s">
        <v>14512</v>
      </c>
      <c r="J983" t="s">
        <v>14016</v>
      </c>
      <c r="K983" t="s">
        <v>74</v>
      </c>
      <c r="L983" t="s">
        <v>74</v>
      </c>
      <c r="M983" t="s">
        <v>78</v>
      </c>
      <c r="N983" t="s">
        <v>12873</v>
      </c>
      <c r="O983" t="s">
        <v>13995</v>
      </c>
      <c r="P983" t="s">
        <v>13996</v>
      </c>
      <c r="Q983" t="s">
        <v>13997</v>
      </c>
      <c r="R983" t="s">
        <v>74</v>
      </c>
      <c r="S983" t="s">
        <v>13998</v>
      </c>
      <c r="T983" t="s">
        <v>74</v>
      </c>
      <c r="U983" t="s">
        <v>74</v>
      </c>
      <c r="V983" t="s">
        <v>14513</v>
      </c>
      <c r="W983" t="s">
        <v>14514</v>
      </c>
      <c r="X983" t="s">
        <v>14515</v>
      </c>
      <c r="Y983" t="s">
        <v>14516</v>
      </c>
      <c r="Z983" t="s">
        <v>14517</v>
      </c>
      <c r="AA983" t="s">
        <v>14518</v>
      </c>
      <c r="AB983" t="s">
        <v>14519</v>
      </c>
      <c r="AC983" t="s">
        <v>14520</v>
      </c>
      <c r="AD983" t="s">
        <v>14520</v>
      </c>
      <c r="AE983" t="s">
        <v>14521</v>
      </c>
      <c r="AF983" t="s">
        <v>74</v>
      </c>
      <c r="AG983">
        <v>12</v>
      </c>
      <c r="AH983">
        <v>1</v>
      </c>
      <c r="AI983">
        <v>1</v>
      </c>
      <c r="AJ983">
        <v>0</v>
      </c>
      <c r="AK983">
        <v>4</v>
      </c>
      <c r="AL983" t="s">
        <v>14001</v>
      </c>
      <c r="AM983" t="s">
        <v>14002</v>
      </c>
      <c r="AN983" t="s">
        <v>14003</v>
      </c>
      <c r="AO983" t="s">
        <v>74</v>
      </c>
      <c r="AP983" t="s">
        <v>74</v>
      </c>
      <c r="AQ983" t="s">
        <v>14004</v>
      </c>
      <c r="AR983" t="s">
        <v>74</v>
      </c>
      <c r="AS983" t="s">
        <v>74</v>
      </c>
      <c r="AT983" t="s">
        <v>74</v>
      </c>
      <c r="AU983">
        <v>2006</v>
      </c>
      <c r="AV983" t="s">
        <v>74</v>
      </c>
      <c r="AW983" t="s">
        <v>74</v>
      </c>
      <c r="AX983" t="s">
        <v>74</v>
      </c>
      <c r="AY983" t="s">
        <v>74</v>
      </c>
      <c r="AZ983" t="s">
        <v>74</v>
      </c>
      <c r="BA983" t="s">
        <v>74</v>
      </c>
      <c r="BB983">
        <v>383</v>
      </c>
      <c r="BC983" t="s">
        <v>7504</v>
      </c>
      <c r="BD983" t="s">
        <v>74</v>
      </c>
      <c r="BE983" t="s">
        <v>14522</v>
      </c>
      <c r="BF983" t="str">
        <f>HYPERLINK("http://dx.doi.org/10.1007/3-540-32934-X_48","http://dx.doi.org/10.1007/3-540-32934-X_48")</f>
        <v>http://dx.doi.org/10.1007/3-540-32934-X_48</v>
      </c>
      <c r="BG983" t="s">
        <v>74</v>
      </c>
      <c r="BH983" t="s">
        <v>74</v>
      </c>
      <c r="BI983">
        <v>2</v>
      </c>
      <c r="BJ983" t="s">
        <v>527</v>
      </c>
      <c r="BK983" t="s">
        <v>12886</v>
      </c>
      <c r="BL983" t="s">
        <v>528</v>
      </c>
      <c r="BM983" t="s">
        <v>14006</v>
      </c>
      <c r="BN983" t="s">
        <v>74</v>
      </c>
      <c r="BO983" t="s">
        <v>74</v>
      </c>
      <c r="BP983" t="s">
        <v>74</v>
      </c>
      <c r="BQ983" t="s">
        <v>74</v>
      </c>
      <c r="BR983" t="s">
        <v>100</v>
      </c>
      <c r="BS983" t="s">
        <v>14523</v>
      </c>
      <c r="BT983" t="str">
        <f>HYPERLINK("https%3A%2F%2Fwww.webofscience.com%2Fwos%2Fwoscc%2Ffull-record%2FWOS:000236632500048","View Full Record in Web of Science")</f>
        <v>View Full Record in Web of Science</v>
      </c>
    </row>
    <row r="984" spans="1:72" x14ac:dyDescent="0.15">
      <c r="A984" t="s">
        <v>12866</v>
      </c>
      <c r="B984" t="s">
        <v>14524</v>
      </c>
      <c r="C984" t="s">
        <v>74</v>
      </c>
      <c r="D984" t="s">
        <v>13992</v>
      </c>
      <c r="E984" t="s">
        <v>74</v>
      </c>
      <c r="F984" t="s">
        <v>14524</v>
      </c>
      <c r="G984" t="s">
        <v>74</v>
      </c>
      <c r="H984" t="s">
        <v>74</v>
      </c>
      <c r="I984" t="s">
        <v>14525</v>
      </c>
      <c r="J984" t="s">
        <v>14016</v>
      </c>
      <c r="K984" t="s">
        <v>74</v>
      </c>
      <c r="L984" t="s">
        <v>74</v>
      </c>
      <c r="M984" t="s">
        <v>78</v>
      </c>
      <c r="N984" t="s">
        <v>12873</v>
      </c>
      <c r="O984" t="s">
        <v>13995</v>
      </c>
      <c r="P984" t="s">
        <v>13996</v>
      </c>
      <c r="Q984" t="s">
        <v>13997</v>
      </c>
      <c r="R984" t="s">
        <v>74</v>
      </c>
      <c r="S984" t="s">
        <v>13998</v>
      </c>
      <c r="T984" t="s">
        <v>74</v>
      </c>
      <c r="U984" t="s">
        <v>14526</v>
      </c>
      <c r="V984" t="s">
        <v>14527</v>
      </c>
      <c r="W984" t="s">
        <v>14384</v>
      </c>
      <c r="X984" t="s">
        <v>5744</v>
      </c>
      <c r="Y984" t="s">
        <v>14385</v>
      </c>
      <c r="Z984" t="s">
        <v>14528</v>
      </c>
      <c r="AA984" t="s">
        <v>14529</v>
      </c>
      <c r="AB984" t="s">
        <v>14530</v>
      </c>
      <c r="AC984" t="s">
        <v>74</v>
      </c>
      <c r="AD984" t="s">
        <v>74</v>
      </c>
      <c r="AE984" t="s">
        <v>74</v>
      </c>
      <c r="AF984" t="s">
        <v>74</v>
      </c>
      <c r="AG984">
        <v>8</v>
      </c>
      <c r="AH984">
        <v>6</v>
      </c>
      <c r="AI984">
        <v>8</v>
      </c>
      <c r="AJ984">
        <v>0</v>
      </c>
      <c r="AK984">
        <v>8</v>
      </c>
      <c r="AL984" t="s">
        <v>14001</v>
      </c>
      <c r="AM984" t="s">
        <v>14002</v>
      </c>
      <c r="AN984" t="s">
        <v>14003</v>
      </c>
      <c r="AO984" t="s">
        <v>74</v>
      </c>
      <c r="AP984" t="s">
        <v>74</v>
      </c>
      <c r="AQ984" t="s">
        <v>14004</v>
      </c>
      <c r="AR984" t="s">
        <v>74</v>
      </c>
      <c r="AS984" t="s">
        <v>74</v>
      </c>
      <c r="AT984" t="s">
        <v>74</v>
      </c>
      <c r="AU984">
        <v>2006</v>
      </c>
      <c r="AV984" t="s">
        <v>74</v>
      </c>
      <c r="AW984" t="s">
        <v>74</v>
      </c>
      <c r="AX984" t="s">
        <v>74</v>
      </c>
      <c r="AY984" t="s">
        <v>74</v>
      </c>
      <c r="AZ984" t="s">
        <v>74</v>
      </c>
      <c r="BA984" t="s">
        <v>74</v>
      </c>
      <c r="BB984">
        <v>391</v>
      </c>
      <c r="BC984">
        <v>396</v>
      </c>
      <c r="BD984" t="s">
        <v>74</v>
      </c>
      <c r="BE984" t="s">
        <v>14531</v>
      </c>
      <c r="BF984" t="str">
        <f>HYPERLINK("http://dx.doi.org/10.1007/3-540-32934-X_49","http://dx.doi.org/10.1007/3-540-32934-X_49")</f>
        <v>http://dx.doi.org/10.1007/3-540-32934-X_49</v>
      </c>
      <c r="BG984" t="s">
        <v>74</v>
      </c>
      <c r="BH984" t="s">
        <v>74</v>
      </c>
      <c r="BI984">
        <v>6</v>
      </c>
      <c r="BJ984" t="s">
        <v>527</v>
      </c>
      <c r="BK984" t="s">
        <v>12886</v>
      </c>
      <c r="BL984" t="s">
        <v>528</v>
      </c>
      <c r="BM984" t="s">
        <v>14006</v>
      </c>
      <c r="BN984" t="s">
        <v>74</v>
      </c>
      <c r="BO984" t="s">
        <v>74</v>
      </c>
      <c r="BP984" t="s">
        <v>74</v>
      </c>
      <c r="BQ984" t="s">
        <v>74</v>
      </c>
      <c r="BR984" t="s">
        <v>100</v>
      </c>
      <c r="BS984" t="s">
        <v>14532</v>
      </c>
      <c r="BT984" t="str">
        <f>HYPERLINK("https%3A%2F%2Fwww.webofscience.com%2Fwos%2Fwoscc%2Ffull-record%2FWOS:000236632500049","View Full Record in Web of Science")</f>
        <v>View Full Record in Web of Science</v>
      </c>
    </row>
    <row r="985" spans="1:72" x14ac:dyDescent="0.15">
      <c r="A985" t="s">
        <v>12866</v>
      </c>
      <c r="B985" t="s">
        <v>14533</v>
      </c>
      <c r="C985" t="s">
        <v>74</v>
      </c>
      <c r="D985" t="s">
        <v>13992</v>
      </c>
      <c r="E985" t="s">
        <v>74</v>
      </c>
      <c r="F985" t="s">
        <v>14533</v>
      </c>
      <c r="G985" t="s">
        <v>74</v>
      </c>
      <c r="H985" t="s">
        <v>74</v>
      </c>
      <c r="I985" t="s">
        <v>14534</v>
      </c>
      <c r="J985" t="s">
        <v>13994</v>
      </c>
      <c r="K985" t="s">
        <v>74</v>
      </c>
      <c r="L985" t="s">
        <v>74</v>
      </c>
      <c r="M985" t="s">
        <v>78</v>
      </c>
      <c r="N985" t="s">
        <v>12873</v>
      </c>
      <c r="O985" t="s">
        <v>13995</v>
      </c>
      <c r="P985" t="s">
        <v>13996</v>
      </c>
      <c r="Q985" t="s">
        <v>13997</v>
      </c>
      <c r="R985" t="s">
        <v>74</v>
      </c>
      <c r="S985" t="s">
        <v>13998</v>
      </c>
      <c r="T985" t="s">
        <v>74</v>
      </c>
      <c r="U985" t="s">
        <v>74</v>
      </c>
      <c r="V985" t="s">
        <v>14535</v>
      </c>
      <c r="W985" t="s">
        <v>14536</v>
      </c>
      <c r="X985" t="s">
        <v>5744</v>
      </c>
      <c r="Y985" t="s">
        <v>14537</v>
      </c>
      <c r="Z985" t="s">
        <v>74</v>
      </c>
      <c r="AA985" t="s">
        <v>14538</v>
      </c>
      <c r="AB985" t="s">
        <v>14539</v>
      </c>
      <c r="AC985" t="s">
        <v>74</v>
      </c>
      <c r="AD985" t="s">
        <v>74</v>
      </c>
      <c r="AE985" t="s">
        <v>74</v>
      </c>
      <c r="AF985" t="s">
        <v>74</v>
      </c>
      <c r="AG985">
        <v>10</v>
      </c>
      <c r="AH985">
        <v>16</v>
      </c>
      <c r="AI985">
        <v>17</v>
      </c>
      <c r="AJ985">
        <v>0</v>
      </c>
      <c r="AK985">
        <v>3</v>
      </c>
      <c r="AL985" t="s">
        <v>14001</v>
      </c>
      <c r="AM985" t="s">
        <v>14002</v>
      </c>
      <c r="AN985" t="s">
        <v>14003</v>
      </c>
      <c r="AO985" t="s">
        <v>74</v>
      </c>
      <c r="AP985" t="s">
        <v>74</v>
      </c>
      <c r="AQ985" t="s">
        <v>14004</v>
      </c>
      <c r="AR985" t="s">
        <v>74</v>
      </c>
      <c r="AS985" t="s">
        <v>74</v>
      </c>
      <c r="AT985" t="s">
        <v>74</v>
      </c>
      <c r="AU985">
        <v>2006</v>
      </c>
      <c r="AV985" t="s">
        <v>74</v>
      </c>
      <c r="AW985" t="s">
        <v>74</v>
      </c>
      <c r="AX985" t="s">
        <v>74</v>
      </c>
      <c r="AY985" t="s">
        <v>74</v>
      </c>
      <c r="AZ985" t="s">
        <v>74</v>
      </c>
      <c r="BA985" t="s">
        <v>74</v>
      </c>
      <c r="BB985">
        <v>397</v>
      </c>
      <c r="BC985">
        <v>402</v>
      </c>
      <c r="BD985" t="s">
        <v>74</v>
      </c>
      <c r="BE985" t="s">
        <v>14540</v>
      </c>
      <c r="BF985" t="str">
        <f>HYPERLINK("http://dx.doi.org/10.1007/3-540-32934-X_50","http://dx.doi.org/10.1007/3-540-32934-X_50")</f>
        <v>http://dx.doi.org/10.1007/3-540-32934-X_50</v>
      </c>
      <c r="BG985" t="s">
        <v>74</v>
      </c>
      <c r="BH985" t="s">
        <v>74</v>
      </c>
      <c r="BI985">
        <v>6</v>
      </c>
      <c r="BJ985" t="s">
        <v>527</v>
      </c>
      <c r="BK985" t="s">
        <v>12886</v>
      </c>
      <c r="BL985" t="s">
        <v>528</v>
      </c>
      <c r="BM985" t="s">
        <v>14006</v>
      </c>
      <c r="BN985" t="s">
        <v>74</v>
      </c>
      <c r="BO985" t="s">
        <v>74</v>
      </c>
      <c r="BP985" t="s">
        <v>74</v>
      </c>
      <c r="BQ985" t="s">
        <v>74</v>
      </c>
      <c r="BR985" t="s">
        <v>100</v>
      </c>
      <c r="BS985" t="s">
        <v>14541</v>
      </c>
      <c r="BT985" t="str">
        <f>HYPERLINK("https%3A%2F%2Fwww.webofscience.com%2Fwos%2Fwoscc%2Ffull-record%2FWOS:000236632500050","View Full Record in Web of Science")</f>
        <v>View Full Record in Web of Science</v>
      </c>
    </row>
    <row r="986" spans="1:72" x14ac:dyDescent="0.15">
      <c r="A986" t="s">
        <v>12866</v>
      </c>
      <c r="B986" t="s">
        <v>14542</v>
      </c>
      <c r="C986" t="s">
        <v>74</v>
      </c>
      <c r="D986" t="s">
        <v>13992</v>
      </c>
      <c r="E986" t="s">
        <v>74</v>
      </c>
      <c r="F986" t="s">
        <v>14542</v>
      </c>
      <c r="G986" t="s">
        <v>74</v>
      </c>
      <c r="H986" t="s">
        <v>74</v>
      </c>
      <c r="I986" t="s">
        <v>14543</v>
      </c>
      <c r="J986" t="s">
        <v>14016</v>
      </c>
      <c r="K986" t="s">
        <v>74</v>
      </c>
      <c r="L986" t="s">
        <v>74</v>
      </c>
      <c r="M986" t="s">
        <v>78</v>
      </c>
      <c r="N986" t="s">
        <v>12873</v>
      </c>
      <c r="O986" t="s">
        <v>13995</v>
      </c>
      <c r="P986" t="s">
        <v>13996</v>
      </c>
      <c r="Q986" t="s">
        <v>13997</v>
      </c>
      <c r="R986" t="s">
        <v>74</v>
      </c>
      <c r="S986" t="s">
        <v>13998</v>
      </c>
      <c r="T986" t="s">
        <v>74</v>
      </c>
      <c r="U986" t="s">
        <v>74</v>
      </c>
      <c r="V986" t="s">
        <v>14544</v>
      </c>
      <c r="W986" t="s">
        <v>14545</v>
      </c>
      <c r="X986" t="s">
        <v>7992</v>
      </c>
      <c r="Y986" t="s">
        <v>14546</v>
      </c>
      <c r="Z986" t="s">
        <v>14547</v>
      </c>
      <c r="AA986" t="s">
        <v>74</v>
      </c>
      <c r="AB986" t="s">
        <v>14548</v>
      </c>
      <c r="AC986" t="s">
        <v>14549</v>
      </c>
      <c r="AD986" t="s">
        <v>14550</v>
      </c>
      <c r="AE986" t="s">
        <v>14551</v>
      </c>
      <c r="AF986" t="s">
        <v>74</v>
      </c>
      <c r="AG986">
        <v>8</v>
      </c>
      <c r="AH986">
        <v>8</v>
      </c>
      <c r="AI986">
        <v>9</v>
      </c>
      <c r="AJ986">
        <v>0</v>
      </c>
      <c r="AK986">
        <v>2</v>
      </c>
      <c r="AL986" t="s">
        <v>14001</v>
      </c>
      <c r="AM986" t="s">
        <v>14002</v>
      </c>
      <c r="AN986" t="s">
        <v>14003</v>
      </c>
      <c r="AO986" t="s">
        <v>74</v>
      </c>
      <c r="AP986" t="s">
        <v>74</v>
      </c>
      <c r="AQ986" t="s">
        <v>14004</v>
      </c>
      <c r="AR986" t="s">
        <v>74</v>
      </c>
      <c r="AS986" t="s">
        <v>74</v>
      </c>
      <c r="AT986" t="s">
        <v>74</v>
      </c>
      <c r="AU986">
        <v>2006</v>
      </c>
      <c r="AV986" t="s">
        <v>74</v>
      </c>
      <c r="AW986" t="s">
        <v>74</v>
      </c>
      <c r="AX986" t="s">
        <v>74</v>
      </c>
      <c r="AY986" t="s">
        <v>74</v>
      </c>
      <c r="AZ986" t="s">
        <v>74</v>
      </c>
      <c r="BA986" t="s">
        <v>74</v>
      </c>
      <c r="BB986">
        <v>403</v>
      </c>
      <c r="BC986" t="s">
        <v>7504</v>
      </c>
      <c r="BD986" t="s">
        <v>74</v>
      </c>
      <c r="BE986" t="s">
        <v>14552</v>
      </c>
      <c r="BF986" t="str">
        <f>HYPERLINK("http://dx.doi.org/10.1007/3-540-32934-X_51","http://dx.doi.org/10.1007/3-540-32934-X_51")</f>
        <v>http://dx.doi.org/10.1007/3-540-32934-X_51</v>
      </c>
      <c r="BG986" t="s">
        <v>74</v>
      </c>
      <c r="BH986" t="s">
        <v>74</v>
      </c>
      <c r="BI986">
        <v>2</v>
      </c>
      <c r="BJ986" t="s">
        <v>527</v>
      </c>
      <c r="BK986" t="s">
        <v>12886</v>
      </c>
      <c r="BL986" t="s">
        <v>528</v>
      </c>
      <c r="BM986" t="s">
        <v>14006</v>
      </c>
      <c r="BN986" t="s">
        <v>74</v>
      </c>
      <c r="BO986" t="s">
        <v>147</v>
      </c>
      <c r="BP986" t="s">
        <v>74</v>
      </c>
      <c r="BQ986" t="s">
        <v>74</v>
      </c>
      <c r="BR986" t="s">
        <v>100</v>
      </c>
      <c r="BS986" t="s">
        <v>14553</v>
      </c>
      <c r="BT986" t="str">
        <f>HYPERLINK("https%3A%2F%2Fwww.webofscience.com%2Fwos%2Fwoscc%2Ffull-record%2FWOS:000236632500051","View Full Record in Web of Science")</f>
        <v>View Full Record in Web of Science</v>
      </c>
    </row>
    <row r="987" spans="1:72" x14ac:dyDescent="0.15">
      <c r="A987" t="s">
        <v>12866</v>
      </c>
      <c r="B987" t="s">
        <v>14554</v>
      </c>
      <c r="C987" t="s">
        <v>74</v>
      </c>
      <c r="D987" t="s">
        <v>13992</v>
      </c>
      <c r="E987" t="s">
        <v>74</v>
      </c>
      <c r="F987" t="s">
        <v>14554</v>
      </c>
      <c r="G987" t="s">
        <v>74</v>
      </c>
      <c r="H987" t="s">
        <v>74</v>
      </c>
      <c r="I987" t="s">
        <v>14555</v>
      </c>
      <c r="J987" t="s">
        <v>14016</v>
      </c>
      <c r="K987" t="s">
        <v>74</v>
      </c>
      <c r="L987" t="s">
        <v>74</v>
      </c>
      <c r="M987" t="s">
        <v>78</v>
      </c>
      <c r="N987" t="s">
        <v>12873</v>
      </c>
      <c r="O987" t="s">
        <v>13995</v>
      </c>
      <c r="P987" t="s">
        <v>13996</v>
      </c>
      <c r="Q987" t="s">
        <v>13997</v>
      </c>
      <c r="R987" t="s">
        <v>74</v>
      </c>
      <c r="S987" t="s">
        <v>13998</v>
      </c>
      <c r="T987" t="s">
        <v>74</v>
      </c>
      <c r="U987" t="s">
        <v>14556</v>
      </c>
      <c r="V987" t="s">
        <v>14557</v>
      </c>
      <c r="W987" t="s">
        <v>14558</v>
      </c>
      <c r="X987" t="s">
        <v>7992</v>
      </c>
      <c r="Y987" t="s">
        <v>12784</v>
      </c>
      <c r="Z987" t="s">
        <v>14559</v>
      </c>
      <c r="AA987" t="s">
        <v>14560</v>
      </c>
      <c r="AB987" t="s">
        <v>14561</v>
      </c>
      <c r="AC987" t="s">
        <v>14562</v>
      </c>
      <c r="AD987" t="s">
        <v>14563</v>
      </c>
      <c r="AE987" t="s">
        <v>14564</v>
      </c>
      <c r="AF987" t="s">
        <v>74</v>
      </c>
      <c r="AG987">
        <v>20</v>
      </c>
      <c r="AH987">
        <v>0</v>
      </c>
      <c r="AI987">
        <v>0</v>
      </c>
      <c r="AJ987">
        <v>0</v>
      </c>
      <c r="AK987">
        <v>0</v>
      </c>
      <c r="AL987" t="s">
        <v>14001</v>
      </c>
      <c r="AM987" t="s">
        <v>14002</v>
      </c>
      <c r="AN987" t="s">
        <v>14003</v>
      </c>
      <c r="AO987" t="s">
        <v>74</v>
      </c>
      <c r="AP987" t="s">
        <v>74</v>
      </c>
      <c r="AQ987" t="s">
        <v>14004</v>
      </c>
      <c r="AR987" t="s">
        <v>74</v>
      </c>
      <c r="AS987" t="s">
        <v>74</v>
      </c>
      <c r="AT987" t="s">
        <v>74</v>
      </c>
      <c r="AU987">
        <v>2006</v>
      </c>
      <c r="AV987" t="s">
        <v>74</v>
      </c>
      <c r="AW987" t="s">
        <v>74</v>
      </c>
      <c r="AX987" t="s">
        <v>74</v>
      </c>
      <c r="AY987" t="s">
        <v>74</v>
      </c>
      <c r="AZ987" t="s">
        <v>74</v>
      </c>
      <c r="BA987" t="s">
        <v>74</v>
      </c>
      <c r="BB987">
        <v>409</v>
      </c>
      <c r="BC987" t="s">
        <v>7504</v>
      </c>
      <c r="BD987" t="s">
        <v>74</v>
      </c>
      <c r="BE987" t="s">
        <v>14565</v>
      </c>
      <c r="BF987" t="str">
        <f>HYPERLINK("http://dx.doi.org/10.1007/3-540-32934-X_52","http://dx.doi.org/10.1007/3-540-32934-X_52")</f>
        <v>http://dx.doi.org/10.1007/3-540-32934-X_52</v>
      </c>
      <c r="BG987" t="s">
        <v>74</v>
      </c>
      <c r="BH987" t="s">
        <v>74</v>
      </c>
      <c r="BI987">
        <v>2</v>
      </c>
      <c r="BJ987" t="s">
        <v>527</v>
      </c>
      <c r="BK987" t="s">
        <v>12886</v>
      </c>
      <c r="BL987" t="s">
        <v>528</v>
      </c>
      <c r="BM987" t="s">
        <v>14006</v>
      </c>
      <c r="BN987" t="s">
        <v>74</v>
      </c>
      <c r="BO987" t="s">
        <v>147</v>
      </c>
      <c r="BP987" t="s">
        <v>74</v>
      </c>
      <c r="BQ987" t="s">
        <v>74</v>
      </c>
      <c r="BR987" t="s">
        <v>100</v>
      </c>
      <c r="BS987" t="s">
        <v>14566</v>
      </c>
      <c r="BT987" t="str">
        <f>HYPERLINK("https%3A%2F%2Fwww.webofscience.com%2Fwos%2Fwoscc%2Ffull-record%2FWOS:000236632500052","View Full Record in Web of Science")</f>
        <v>View Full Record in Web of Science</v>
      </c>
    </row>
    <row r="988" spans="1:72" x14ac:dyDescent="0.15">
      <c r="A988" t="s">
        <v>12866</v>
      </c>
      <c r="B988" t="s">
        <v>14567</v>
      </c>
      <c r="C988" t="s">
        <v>74</v>
      </c>
      <c r="D988" t="s">
        <v>13992</v>
      </c>
      <c r="E988" t="s">
        <v>74</v>
      </c>
      <c r="F988" t="s">
        <v>14567</v>
      </c>
      <c r="G988" t="s">
        <v>74</v>
      </c>
      <c r="H988" t="s">
        <v>74</v>
      </c>
      <c r="I988" t="s">
        <v>14568</v>
      </c>
      <c r="J988" t="s">
        <v>14016</v>
      </c>
      <c r="K988" t="s">
        <v>74</v>
      </c>
      <c r="L988" t="s">
        <v>74</v>
      </c>
      <c r="M988" t="s">
        <v>78</v>
      </c>
      <c r="N988" t="s">
        <v>12873</v>
      </c>
      <c r="O988" t="s">
        <v>13995</v>
      </c>
      <c r="P988" t="s">
        <v>13996</v>
      </c>
      <c r="Q988" t="s">
        <v>13997</v>
      </c>
      <c r="R988" t="s">
        <v>74</v>
      </c>
      <c r="S988" t="s">
        <v>13998</v>
      </c>
      <c r="T988" t="s">
        <v>74</v>
      </c>
      <c r="U988" t="s">
        <v>14569</v>
      </c>
      <c r="V988" t="s">
        <v>14570</v>
      </c>
      <c r="W988" t="s">
        <v>14571</v>
      </c>
      <c r="X988" t="s">
        <v>14572</v>
      </c>
      <c r="Y988" t="s">
        <v>14573</v>
      </c>
      <c r="Z988" t="s">
        <v>74</v>
      </c>
      <c r="AA988" t="s">
        <v>74</v>
      </c>
      <c r="AB988" t="s">
        <v>74</v>
      </c>
      <c r="AC988" t="s">
        <v>74</v>
      </c>
      <c r="AD988" t="s">
        <v>74</v>
      </c>
      <c r="AE988" t="s">
        <v>74</v>
      </c>
      <c r="AF988" t="s">
        <v>74</v>
      </c>
      <c r="AG988">
        <v>27</v>
      </c>
      <c r="AH988">
        <v>0</v>
      </c>
      <c r="AI988">
        <v>0</v>
      </c>
      <c r="AJ988">
        <v>0</v>
      </c>
      <c r="AK988">
        <v>3</v>
      </c>
      <c r="AL988" t="s">
        <v>14001</v>
      </c>
      <c r="AM988" t="s">
        <v>14002</v>
      </c>
      <c r="AN988" t="s">
        <v>14003</v>
      </c>
      <c r="AO988" t="s">
        <v>74</v>
      </c>
      <c r="AP988" t="s">
        <v>74</v>
      </c>
      <c r="AQ988" t="s">
        <v>14004</v>
      </c>
      <c r="AR988" t="s">
        <v>74</v>
      </c>
      <c r="AS988" t="s">
        <v>74</v>
      </c>
      <c r="AT988" t="s">
        <v>74</v>
      </c>
      <c r="AU988">
        <v>2006</v>
      </c>
      <c r="AV988" t="s">
        <v>74</v>
      </c>
      <c r="AW988" t="s">
        <v>74</v>
      </c>
      <c r="AX988" t="s">
        <v>74</v>
      </c>
      <c r="AY988" t="s">
        <v>74</v>
      </c>
      <c r="AZ988" t="s">
        <v>74</v>
      </c>
      <c r="BA988" t="s">
        <v>74</v>
      </c>
      <c r="BB988">
        <v>415</v>
      </c>
      <c r="BC988" t="s">
        <v>7504</v>
      </c>
      <c r="BD988" t="s">
        <v>74</v>
      </c>
      <c r="BE988" t="s">
        <v>14574</v>
      </c>
      <c r="BF988" t="str">
        <f>HYPERLINK("http://dx.doi.org/10.1007/3-540-32934-X_53","http://dx.doi.org/10.1007/3-540-32934-X_53")</f>
        <v>http://dx.doi.org/10.1007/3-540-32934-X_53</v>
      </c>
      <c r="BG988" t="s">
        <v>74</v>
      </c>
      <c r="BH988" t="s">
        <v>74</v>
      </c>
      <c r="BI988">
        <v>3</v>
      </c>
      <c r="BJ988" t="s">
        <v>527</v>
      </c>
      <c r="BK988" t="s">
        <v>12886</v>
      </c>
      <c r="BL988" t="s">
        <v>528</v>
      </c>
      <c r="BM988" t="s">
        <v>14006</v>
      </c>
      <c r="BN988" t="s">
        <v>74</v>
      </c>
      <c r="BO988" t="s">
        <v>74</v>
      </c>
      <c r="BP988" t="s">
        <v>74</v>
      </c>
      <c r="BQ988" t="s">
        <v>74</v>
      </c>
      <c r="BR988" t="s">
        <v>100</v>
      </c>
      <c r="BS988" t="s">
        <v>14575</v>
      </c>
      <c r="BT988" t="str">
        <f>HYPERLINK("https%3A%2F%2Fwww.webofscience.com%2Fwos%2Fwoscc%2Ffull-record%2FWOS:000236632500053","View Full Record in Web of Science")</f>
        <v>View Full Record in Web of Science</v>
      </c>
    </row>
    <row r="989" spans="1:72" x14ac:dyDescent="0.15">
      <c r="A989" t="s">
        <v>12866</v>
      </c>
      <c r="B989" t="s">
        <v>14576</v>
      </c>
      <c r="C989" t="s">
        <v>74</v>
      </c>
      <c r="D989" t="s">
        <v>13992</v>
      </c>
      <c r="E989" t="s">
        <v>74</v>
      </c>
      <c r="F989" t="s">
        <v>14576</v>
      </c>
      <c r="G989" t="s">
        <v>74</v>
      </c>
      <c r="H989" t="s">
        <v>74</v>
      </c>
      <c r="I989" t="s">
        <v>14577</v>
      </c>
      <c r="J989" t="s">
        <v>14016</v>
      </c>
      <c r="K989" t="s">
        <v>74</v>
      </c>
      <c r="L989" t="s">
        <v>74</v>
      </c>
      <c r="M989" t="s">
        <v>78</v>
      </c>
      <c r="N989" t="s">
        <v>12873</v>
      </c>
      <c r="O989" t="s">
        <v>13995</v>
      </c>
      <c r="P989" t="s">
        <v>13996</v>
      </c>
      <c r="Q989" t="s">
        <v>13997</v>
      </c>
      <c r="R989" t="s">
        <v>74</v>
      </c>
      <c r="S989" t="s">
        <v>13998</v>
      </c>
      <c r="T989" t="s">
        <v>74</v>
      </c>
      <c r="U989" t="s">
        <v>14578</v>
      </c>
      <c r="V989" t="s">
        <v>14579</v>
      </c>
      <c r="W989" t="s">
        <v>14580</v>
      </c>
      <c r="X989" t="s">
        <v>14581</v>
      </c>
      <c r="Y989" t="s">
        <v>14582</v>
      </c>
      <c r="Z989" t="s">
        <v>74</v>
      </c>
      <c r="AA989" t="s">
        <v>74</v>
      </c>
      <c r="AB989" t="s">
        <v>74</v>
      </c>
      <c r="AC989" t="s">
        <v>14583</v>
      </c>
      <c r="AD989" t="s">
        <v>14583</v>
      </c>
      <c r="AE989" t="s">
        <v>14584</v>
      </c>
      <c r="AF989" t="s">
        <v>74</v>
      </c>
      <c r="AG989">
        <v>20</v>
      </c>
      <c r="AH989">
        <v>11</v>
      </c>
      <c r="AI989">
        <v>13</v>
      </c>
      <c r="AJ989">
        <v>0</v>
      </c>
      <c r="AK989">
        <v>5</v>
      </c>
      <c r="AL989" t="s">
        <v>14001</v>
      </c>
      <c r="AM989" t="s">
        <v>14002</v>
      </c>
      <c r="AN989" t="s">
        <v>14003</v>
      </c>
      <c r="AO989" t="s">
        <v>74</v>
      </c>
      <c r="AP989" t="s">
        <v>74</v>
      </c>
      <c r="AQ989" t="s">
        <v>14004</v>
      </c>
      <c r="AR989" t="s">
        <v>74</v>
      </c>
      <c r="AS989" t="s">
        <v>74</v>
      </c>
      <c r="AT989" t="s">
        <v>74</v>
      </c>
      <c r="AU989">
        <v>2006</v>
      </c>
      <c r="AV989" t="s">
        <v>74</v>
      </c>
      <c r="AW989" t="s">
        <v>74</v>
      </c>
      <c r="AX989" t="s">
        <v>74</v>
      </c>
      <c r="AY989" t="s">
        <v>74</v>
      </c>
      <c r="AZ989" t="s">
        <v>74</v>
      </c>
      <c r="BA989" t="s">
        <v>74</v>
      </c>
      <c r="BB989">
        <v>423</v>
      </c>
      <c r="BC989" t="s">
        <v>7504</v>
      </c>
      <c r="BD989" t="s">
        <v>74</v>
      </c>
      <c r="BE989" t="s">
        <v>14585</v>
      </c>
      <c r="BF989" t="str">
        <f>HYPERLINK("http://dx.doi.org/10.1007/3-540-32934-X_54","http://dx.doi.org/10.1007/3-540-32934-X_54")</f>
        <v>http://dx.doi.org/10.1007/3-540-32934-X_54</v>
      </c>
      <c r="BG989" t="s">
        <v>74</v>
      </c>
      <c r="BH989" t="s">
        <v>74</v>
      </c>
      <c r="BI989">
        <v>3</v>
      </c>
      <c r="BJ989" t="s">
        <v>527</v>
      </c>
      <c r="BK989" t="s">
        <v>12886</v>
      </c>
      <c r="BL989" t="s">
        <v>528</v>
      </c>
      <c r="BM989" t="s">
        <v>14006</v>
      </c>
      <c r="BN989" t="s">
        <v>74</v>
      </c>
      <c r="BO989" t="s">
        <v>74</v>
      </c>
      <c r="BP989" t="s">
        <v>74</v>
      </c>
      <c r="BQ989" t="s">
        <v>74</v>
      </c>
      <c r="BR989" t="s">
        <v>100</v>
      </c>
      <c r="BS989" t="s">
        <v>14586</v>
      </c>
      <c r="BT989" t="str">
        <f>HYPERLINK("https%3A%2F%2Fwww.webofscience.com%2Fwos%2Fwoscc%2Ffull-record%2FWOS:000236632500054","View Full Record in Web of Science")</f>
        <v>View Full Record in Web of Science</v>
      </c>
    </row>
    <row r="990" spans="1:72" x14ac:dyDescent="0.15">
      <c r="A990" t="s">
        <v>12866</v>
      </c>
      <c r="B990" t="s">
        <v>14587</v>
      </c>
      <c r="C990" t="s">
        <v>74</v>
      </c>
      <c r="D990" t="s">
        <v>13992</v>
      </c>
      <c r="E990" t="s">
        <v>74</v>
      </c>
      <c r="F990" t="s">
        <v>14587</v>
      </c>
      <c r="G990" t="s">
        <v>74</v>
      </c>
      <c r="H990" t="s">
        <v>74</v>
      </c>
      <c r="I990" t="s">
        <v>14588</v>
      </c>
      <c r="J990" t="s">
        <v>14016</v>
      </c>
      <c r="K990" t="s">
        <v>74</v>
      </c>
      <c r="L990" t="s">
        <v>74</v>
      </c>
      <c r="M990" t="s">
        <v>78</v>
      </c>
      <c r="N990" t="s">
        <v>12873</v>
      </c>
      <c r="O990" t="s">
        <v>13995</v>
      </c>
      <c r="P990" t="s">
        <v>13996</v>
      </c>
      <c r="Q990" t="s">
        <v>13997</v>
      </c>
      <c r="R990" t="s">
        <v>74</v>
      </c>
      <c r="S990" t="s">
        <v>13998</v>
      </c>
      <c r="T990" t="s">
        <v>74</v>
      </c>
      <c r="U990" t="s">
        <v>14589</v>
      </c>
      <c r="V990" t="s">
        <v>14590</v>
      </c>
      <c r="W990" t="s">
        <v>14591</v>
      </c>
      <c r="X990" t="s">
        <v>14592</v>
      </c>
      <c r="Y990" t="s">
        <v>14593</v>
      </c>
      <c r="Z990" t="s">
        <v>14594</v>
      </c>
      <c r="AA990" t="s">
        <v>14595</v>
      </c>
      <c r="AB990" t="s">
        <v>14596</v>
      </c>
      <c r="AC990" t="s">
        <v>14597</v>
      </c>
      <c r="AD990" t="s">
        <v>14246</v>
      </c>
      <c r="AE990" t="s">
        <v>14598</v>
      </c>
      <c r="AF990" t="s">
        <v>74</v>
      </c>
      <c r="AG990">
        <v>30</v>
      </c>
      <c r="AH990">
        <v>6</v>
      </c>
      <c r="AI990">
        <v>7</v>
      </c>
      <c r="AJ990">
        <v>0</v>
      </c>
      <c r="AK990">
        <v>9</v>
      </c>
      <c r="AL990" t="s">
        <v>14001</v>
      </c>
      <c r="AM990" t="s">
        <v>14002</v>
      </c>
      <c r="AN990" t="s">
        <v>14003</v>
      </c>
      <c r="AO990" t="s">
        <v>74</v>
      </c>
      <c r="AP990" t="s">
        <v>74</v>
      </c>
      <c r="AQ990" t="s">
        <v>14004</v>
      </c>
      <c r="AR990" t="s">
        <v>74</v>
      </c>
      <c r="AS990" t="s">
        <v>74</v>
      </c>
      <c r="AT990" t="s">
        <v>74</v>
      </c>
      <c r="AU990">
        <v>2006</v>
      </c>
      <c r="AV990" t="s">
        <v>74</v>
      </c>
      <c r="AW990" t="s">
        <v>74</v>
      </c>
      <c r="AX990" t="s">
        <v>74</v>
      </c>
      <c r="AY990" t="s">
        <v>74</v>
      </c>
      <c r="AZ990" t="s">
        <v>74</v>
      </c>
      <c r="BA990" t="s">
        <v>74</v>
      </c>
      <c r="BB990">
        <v>433</v>
      </c>
      <c r="BC990" t="s">
        <v>7504</v>
      </c>
      <c r="BD990" t="s">
        <v>74</v>
      </c>
      <c r="BE990" t="s">
        <v>14599</v>
      </c>
      <c r="BF990" t="str">
        <f>HYPERLINK("http://dx.doi.org/10.1007/3-540-32934-X_55","http://dx.doi.org/10.1007/3-540-32934-X_55")</f>
        <v>http://dx.doi.org/10.1007/3-540-32934-X_55</v>
      </c>
      <c r="BG990" t="s">
        <v>74</v>
      </c>
      <c r="BH990" t="s">
        <v>74</v>
      </c>
      <c r="BI990">
        <v>3</v>
      </c>
      <c r="BJ990" t="s">
        <v>527</v>
      </c>
      <c r="BK990" t="s">
        <v>12886</v>
      </c>
      <c r="BL990" t="s">
        <v>528</v>
      </c>
      <c r="BM990" t="s">
        <v>14006</v>
      </c>
      <c r="BN990" t="s">
        <v>74</v>
      </c>
      <c r="BO990" t="s">
        <v>74</v>
      </c>
      <c r="BP990" t="s">
        <v>74</v>
      </c>
      <c r="BQ990" t="s">
        <v>74</v>
      </c>
      <c r="BR990" t="s">
        <v>100</v>
      </c>
      <c r="BS990" t="s">
        <v>14600</v>
      </c>
      <c r="BT990" t="str">
        <f>HYPERLINK("https%3A%2F%2Fwww.webofscience.com%2Fwos%2Fwoscc%2Ffull-record%2FWOS:000236632500055","View Full Record in Web of Science")</f>
        <v>View Full Record in Web of Science</v>
      </c>
    </row>
    <row r="991" spans="1:72" x14ac:dyDescent="0.15">
      <c r="A991" t="s">
        <v>12866</v>
      </c>
      <c r="B991" t="s">
        <v>14601</v>
      </c>
      <c r="C991" t="s">
        <v>74</v>
      </c>
      <c r="D991" t="s">
        <v>13992</v>
      </c>
      <c r="E991" t="s">
        <v>74</v>
      </c>
      <c r="F991" t="s">
        <v>14601</v>
      </c>
      <c r="G991" t="s">
        <v>74</v>
      </c>
      <c r="H991" t="s">
        <v>74</v>
      </c>
      <c r="I991" t="s">
        <v>14602</v>
      </c>
      <c r="J991" t="s">
        <v>14016</v>
      </c>
      <c r="K991" t="s">
        <v>74</v>
      </c>
      <c r="L991" t="s">
        <v>74</v>
      </c>
      <c r="M991" t="s">
        <v>78</v>
      </c>
      <c r="N991" t="s">
        <v>12873</v>
      </c>
      <c r="O991" t="s">
        <v>13995</v>
      </c>
      <c r="P991" t="s">
        <v>13996</v>
      </c>
      <c r="Q991" t="s">
        <v>13997</v>
      </c>
      <c r="R991" t="s">
        <v>74</v>
      </c>
      <c r="S991" t="s">
        <v>13998</v>
      </c>
      <c r="T991" t="s">
        <v>74</v>
      </c>
      <c r="U991" t="s">
        <v>14603</v>
      </c>
      <c r="V991" t="s">
        <v>14604</v>
      </c>
      <c r="W991" t="s">
        <v>14605</v>
      </c>
      <c r="X991" t="s">
        <v>14606</v>
      </c>
      <c r="Y991" t="s">
        <v>14607</v>
      </c>
      <c r="Z991" t="s">
        <v>5494</v>
      </c>
      <c r="AA991" t="s">
        <v>14608</v>
      </c>
      <c r="AB991" t="s">
        <v>14609</v>
      </c>
      <c r="AC991" t="s">
        <v>74</v>
      </c>
      <c r="AD991" t="s">
        <v>74</v>
      </c>
      <c r="AE991" t="s">
        <v>74</v>
      </c>
      <c r="AF991" t="s">
        <v>74</v>
      </c>
      <c r="AG991">
        <v>23</v>
      </c>
      <c r="AH991">
        <v>3</v>
      </c>
      <c r="AI991">
        <v>4</v>
      </c>
      <c r="AJ991">
        <v>0</v>
      </c>
      <c r="AK991">
        <v>9</v>
      </c>
      <c r="AL991" t="s">
        <v>14001</v>
      </c>
      <c r="AM991" t="s">
        <v>14002</v>
      </c>
      <c r="AN991" t="s">
        <v>14003</v>
      </c>
      <c r="AO991" t="s">
        <v>74</v>
      </c>
      <c r="AP991" t="s">
        <v>74</v>
      </c>
      <c r="AQ991" t="s">
        <v>14004</v>
      </c>
      <c r="AR991" t="s">
        <v>74</v>
      </c>
      <c r="AS991" t="s">
        <v>74</v>
      </c>
      <c r="AT991" t="s">
        <v>74</v>
      </c>
      <c r="AU991">
        <v>2006</v>
      </c>
      <c r="AV991" t="s">
        <v>74</v>
      </c>
      <c r="AW991" t="s">
        <v>74</v>
      </c>
      <c r="AX991" t="s">
        <v>74</v>
      </c>
      <c r="AY991" t="s">
        <v>74</v>
      </c>
      <c r="AZ991" t="s">
        <v>74</v>
      </c>
      <c r="BA991" t="s">
        <v>74</v>
      </c>
      <c r="BB991">
        <v>441</v>
      </c>
      <c r="BC991">
        <v>446</v>
      </c>
      <c r="BD991" t="s">
        <v>74</v>
      </c>
      <c r="BE991" t="s">
        <v>14610</v>
      </c>
      <c r="BF991" t="str">
        <f>HYPERLINK("http://dx.doi.org/10.1007/3-540-32934-X_56","http://dx.doi.org/10.1007/3-540-32934-X_56")</f>
        <v>http://dx.doi.org/10.1007/3-540-32934-X_56</v>
      </c>
      <c r="BG991" t="s">
        <v>74</v>
      </c>
      <c r="BH991" t="s">
        <v>74</v>
      </c>
      <c r="BI991">
        <v>6</v>
      </c>
      <c r="BJ991" t="s">
        <v>527</v>
      </c>
      <c r="BK991" t="s">
        <v>12886</v>
      </c>
      <c r="BL991" t="s">
        <v>528</v>
      </c>
      <c r="BM991" t="s">
        <v>14006</v>
      </c>
      <c r="BN991" t="s">
        <v>74</v>
      </c>
      <c r="BO991" t="s">
        <v>74</v>
      </c>
      <c r="BP991" t="s">
        <v>74</v>
      </c>
      <c r="BQ991" t="s">
        <v>74</v>
      </c>
      <c r="BR991" t="s">
        <v>100</v>
      </c>
      <c r="BS991" t="s">
        <v>14611</v>
      </c>
      <c r="BT991" t="str">
        <f>HYPERLINK("https%3A%2F%2Fwww.webofscience.com%2Fwos%2Fwoscc%2Ffull-record%2FWOS:000236632500056","View Full Record in Web of Science")</f>
        <v>View Full Record in Web of Science</v>
      </c>
    </row>
    <row r="992" spans="1:72" x14ac:dyDescent="0.15">
      <c r="A992" t="s">
        <v>12866</v>
      </c>
      <c r="B992" t="s">
        <v>14612</v>
      </c>
      <c r="C992" t="s">
        <v>74</v>
      </c>
      <c r="D992" t="s">
        <v>13992</v>
      </c>
      <c r="E992" t="s">
        <v>74</v>
      </c>
      <c r="F992" t="s">
        <v>14612</v>
      </c>
      <c r="G992" t="s">
        <v>74</v>
      </c>
      <c r="H992" t="s">
        <v>74</v>
      </c>
      <c r="I992" t="s">
        <v>14613</v>
      </c>
      <c r="J992" t="s">
        <v>14016</v>
      </c>
      <c r="K992" t="s">
        <v>74</v>
      </c>
      <c r="L992" t="s">
        <v>74</v>
      </c>
      <c r="M992" t="s">
        <v>78</v>
      </c>
      <c r="N992" t="s">
        <v>12873</v>
      </c>
      <c r="O992" t="s">
        <v>13995</v>
      </c>
      <c r="P992" t="s">
        <v>13996</v>
      </c>
      <c r="Q992" t="s">
        <v>13997</v>
      </c>
      <c r="R992" t="s">
        <v>74</v>
      </c>
      <c r="S992" t="s">
        <v>13998</v>
      </c>
      <c r="T992" t="s">
        <v>74</v>
      </c>
      <c r="U992" t="s">
        <v>14614</v>
      </c>
      <c r="V992" t="s">
        <v>14615</v>
      </c>
      <c r="W992" t="s">
        <v>14616</v>
      </c>
      <c r="X992" t="s">
        <v>14617</v>
      </c>
      <c r="Y992" t="s">
        <v>14618</v>
      </c>
      <c r="Z992" t="s">
        <v>14619</v>
      </c>
      <c r="AA992" t="s">
        <v>14620</v>
      </c>
      <c r="AB992" t="s">
        <v>14621</v>
      </c>
      <c r="AC992" t="s">
        <v>14622</v>
      </c>
      <c r="AD992" t="s">
        <v>14623</v>
      </c>
      <c r="AE992" t="s">
        <v>14624</v>
      </c>
      <c r="AF992" t="s">
        <v>74</v>
      </c>
      <c r="AG992">
        <v>24</v>
      </c>
      <c r="AH992">
        <v>5</v>
      </c>
      <c r="AI992">
        <v>7</v>
      </c>
      <c r="AJ992">
        <v>0</v>
      </c>
      <c r="AK992">
        <v>3</v>
      </c>
      <c r="AL992" t="s">
        <v>14001</v>
      </c>
      <c r="AM992" t="s">
        <v>14002</v>
      </c>
      <c r="AN992" t="s">
        <v>14003</v>
      </c>
      <c r="AO992" t="s">
        <v>74</v>
      </c>
      <c r="AP992" t="s">
        <v>74</v>
      </c>
      <c r="AQ992" t="s">
        <v>14004</v>
      </c>
      <c r="AR992" t="s">
        <v>74</v>
      </c>
      <c r="AS992" t="s">
        <v>74</v>
      </c>
      <c r="AT992" t="s">
        <v>74</v>
      </c>
      <c r="AU992">
        <v>2006</v>
      </c>
      <c r="AV992" t="s">
        <v>74</v>
      </c>
      <c r="AW992" t="s">
        <v>74</v>
      </c>
      <c r="AX992" t="s">
        <v>74</v>
      </c>
      <c r="AY992" t="s">
        <v>74</v>
      </c>
      <c r="AZ992" t="s">
        <v>74</v>
      </c>
      <c r="BA992" t="s">
        <v>74</v>
      </c>
      <c r="BB992">
        <v>447</v>
      </c>
      <c r="BC992" t="s">
        <v>7504</v>
      </c>
      <c r="BD992" t="s">
        <v>74</v>
      </c>
      <c r="BE992" t="s">
        <v>14625</v>
      </c>
      <c r="BF992" t="str">
        <f>HYPERLINK("http://dx.doi.org/10.1007/3-540-32934-X_57","http://dx.doi.org/10.1007/3-540-32934-X_57")</f>
        <v>http://dx.doi.org/10.1007/3-540-32934-X_57</v>
      </c>
      <c r="BG992" t="s">
        <v>74</v>
      </c>
      <c r="BH992" t="s">
        <v>74</v>
      </c>
      <c r="BI992">
        <v>3</v>
      </c>
      <c r="BJ992" t="s">
        <v>527</v>
      </c>
      <c r="BK992" t="s">
        <v>12886</v>
      </c>
      <c r="BL992" t="s">
        <v>528</v>
      </c>
      <c r="BM992" t="s">
        <v>14006</v>
      </c>
      <c r="BN992" t="s">
        <v>74</v>
      </c>
      <c r="BO992" t="s">
        <v>147</v>
      </c>
      <c r="BP992" t="s">
        <v>74</v>
      </c>
      <c r="BQ992" t="s">
        <v>74</v>
      </c>
      <c r="BR992" t="s">
        <v>100</v>
      </c>
      <c r="BS992" t="s">
        <v>14626</v>
      </c>
      <c r="BT992" t="str">
        <f>HYPERLINK("https%3A%2F%2Fwww.webofscience.com%2Fwos%2Fwoscc%2Ffull-record%2FWOS:000236632500057","View Full Record in Web of Science")</f>
        <v>View Full Record in Web of Science</v>
      </c>
    </row>
    <row r="993" spans="1:72" x14ac:dyDescent="0.15">
      <c r="A993" t="s">
        <v>12866</v>
      </c>
      <c r="B993" t="s">
        <v>14627</v>
      </c>
      <c r="C993" t="s">
        <v>74</v>
      </c>
      <c r="D993" t="s">
        <v>13992</v>
      </c>
      <c r="E993" t="s">
        <v>74</v>
      </c>
      <c r="F993" t="s">
        <v>14627</v>
      </c>
      <c r="G993" t="s">
        <v>74</v>
      </c>
      <c r="H993" t="s">
        <v>74</v>
      </c>
      <c r="I993" t="s">
        <v>14628</v>
      </c>
      <c r="J993" t="s">
        <v>14016</v>
      </c>
      <c r="K993" t="s">
        <v>74</v>
      </c>
      <c r="L993" t="s">
        <v>74</v>
      </c>
      <c r="M993" t="s">
        <v>78</v>
      </c>
      <c r="N993" t="s">
        <v>12873</v>
      </c>
      <c r="O993" t="s">
        <v>13995</v>
      </c>
      <c r="P993" t="s">
        <v>13996</v>
      </c>
      <c r="Q993" t="s">
        <v>13997</v>
      </c>
      <c r="R993" t="s">
        <v>74</v>
      </c>
      <c r="S993" t="s">
        <v>13998</v>
      </c>
      <c r="T993" t="s">
        <v>74</v>
      </c>
      <c r="U993" t="s">
        <v>14629</v>
      </c>
      <c r="V993" t="s">
        <v>14630</v>
      </c>
      <c r="W993" t="s">
        <v>14631</v>
      </c>
      <c r="X993" t="s">
        <v>14632</v>
      </c>
      <c r="Y993" t="s">
        <v>14633</v>
      </c>
      <c r="Z993" t="s">
        <v>74</v>
      </c>
      <c r="AA993" t="s">
        <v>14634</v>
      </c>
      <c r="AB993" t="s">
        <v>74</v>
      </c>
      <c r="AC993" t="s">
        <v>14635</v>
      </c>
      <c r="AD993" t="s">
        <v>14636</v>
      </c>
      <c r="AE993" t="s">
        <v>14637</v>
      </c>
      <c r="AF993" t="s">
        <v>74</v>
      </c>
      <c r="AG993">
        <v>14</v>
      </c>
      <c r="AH993">
        <v>22</v>
      </c>
      <c r="AI993">
        <v>26</v>
      </c>
      <c r="AJ993">
        <v>0</v>
      </c>
      <c r="AK993">
        <v>5</v>
      </c>
      <c r="AL993" t="s">
        <v>14001</v>
      </c>
      <c r="AM993" t="s">
        <v>14002</v>
      </c>
      <c r="AN993" t="s">
        <v>14003</v>
      </c>
      <c r="AO993" t="s">
        <v>74</v>
      </c>
      <c r="AP993" t="s">
        <v>74</v>
      </c>
      <c r="AQ993" t="s">
        <v>14004</v>
      </c>
      <c r="AR993" t="s">
        <v>74</v>
      </c>
      <c r="AS993" t="s">
        <v>74</v>
      </c>
      <c r="AT993" t="s">
        <v>74</v>
      </c>
      <c r="AU993">
        <v>2006</v>
      </c>
      <c r="AV993" t="s">
        <v>74</v>
      </c>
      <c r="AW993" t="s">
        <v>74</v>
      </c>
      <c r="AX993" t="s">
        <v>74</v>
      </c>
      <c r="AY993" t="s">
        <v>74</v>
      </c>
      <c r="AZ993" t="s">
        <v>74</v>
      </c>
      <c r="BA993" t="s">
        <v>74</v>
      </c>
      <c r="BB993">
        <v>455</v>
      </c>
      <c r="BC993" t="s">
        <v>7504</v>
      </c>
      <c r="BD993" t="s">
        <v>74</v>
      </c>
      <c r="BE993" t="s">
        <v>14638</v>
      </c>
      <c r="BF993" t="str">
        <f>HYPERLINK("http://dx.doi.org/10.1007/3-540-32934-X_58","http://dx.doi.org/10.1007/3-540-32934-X_58")</f>
        <v>http://dx.doi.org/10.1007/3-540-32934-X_58</v>
      </c>
      <c r="BG993" t="s">
        <v>74</v>
      </c>
      <c r="BH993" t="s">
        <v>74</v>
      </c>
      <c r="BI993">
        <v>2</v>
      </c>
      <c r="BJ993" t="s">
        <v>527</v>
      </c>
      <c r="BK993" t="s">
        <v>12886</v>
      </c>
      <c r="BL993" t="s">
        <v>528</v>
      </c>
      <c r="BM993" t="s">
        <v>14006</v>
      </c>
      <c r="BN993" t="s">
        <v>74</v>
      </c>
      <c r="BO993" t="s">
        <v>74</v>
      </c>
      <c r="BP993" t="s">
        <v>74</v>
      </c>
      <c r="BQ993" t="s">
        <v>74</v>
      </c>
      <c r="BR993" t="s">
        <v>100</v>
      </c>
      <c r="BS993" t="s">
        <v>14639</v>
      </c>
      <c r="BT993" t="str">
        <f>HYPERLINK("https%3A%2F%2Fwww.webofscience.com%2Fwos%2Fwoscc%2Ffull-record%2FWOS:000236632500058","View Full Record in Web of Science")</f>
        <v>View Full Record in Web of Science</v>
      </c>
    </row>
    <row r="994" spans="1:72" x14ac:dyDescent="0.15">
      <c r="A994" t="s">
        <v>12866</v>
      </c>
      <c r="B994" t="s">
        <v>14640</v>
      </c>
      <c r="C994" t="s">
        <v>74</v>
      </c>
      <c r="D994" t="s">
        <v>13992</v>
      </c>
      <c r="E994" t="s">
        <v>74</v>
      </c>
      <c r="F994" t="s">
        <v>14640</v>
      </c>
      <c r="G994" t="s">
        <v>74</v>
      </c>
      <c r="H994" t="s">
        <v>74</v>
      </c>
      <c r="I994" t="s">
        <v>14641</v>
      </c>
      <c r="J994" t="s">
        <v>14016</v>
      </c>
      <c r="K994" t="s">
        <v>74</v>
      </c>
      <c r="L994" t="s">
        <v>74</v>
      </c>
      <c r="M994" t="s">
        <v>78</v>
      </c>
      <c r="N994" t="s">
        <v>12873</v>
      </c>
      <c r="O994" t="s">
        <v>13995</v>
      </c>
      <c r="P994" t="s">
        <v>13996</v>
      </c>
      <c r="Q994" t="s">
        <v>13997</v>
      </c>
      <c r="R994" t="s">
        <v>74</v>
      </c>
      <c r="S994" t="s">
        <v>13998</v>
      </c>
      <c r="T994" t="s">
        <v>74</v>
      </c>
      <c r="U994" t="s">
        <v>14642</v>
      </c>
      <c r="V994" t="s">
        <v>14643</v>
      </c>
      <c r="W994" t="s">
        <v>14644</v>
      </c>
      <c r="X994" t="s">
        <v>14645</v>
      </c>
      <c r="Y994" t="s">
        <v>14646</v>
      </c>
      <c r="Z994" t="s">
        <v>14647</v>
      </c>
      <c r="AA994" t="s">
        <v>14634</v>
      </c>
      <c r="AB994" t="s">
        <v>74</v>
      </c>
      <c r="AC994" t="s">
        <v>14648</v>
      </c>
      <c r="AD994" t="s">
        <v>14648</v>
      </c>
      <c r="AE994" t="s">
        <v>14649</v>
      </c>
      <c r="AF994" t="s">
        <v>74</v>
      </c>
      <c r="AG994">
        <v>12</v>
      </c>
      <c r="AH994">
        <v>3</v>
      </c>
      <c r="AI994">
        <v>5</v>
      </c>
      <c r="AJ994">
        <v>0</v>
      </c>
      <c r="AK994">
        <v>1</v>
      </c>
      <c r="AL994" t="s">
        <v>14001</v>
      </c>
      <c r="AM994" t="s">
        <v>14002</v>
      </c>
      <c r="AN994" t="s">
        <v>14003</v>
      </c>
      <c r="AO994" t="s">
        <v>74</v>
      </c>
      <c r="AP994" t="s">
        <v>74</v>
      </c>
      <c r="AQ994" t="s">
        <v>14004</v>
      </c>
      <c r="AR994" t="s">
        <v>74</v>
      </c>
      <c r="AS994" t="s">
        <v>74</v>
      </c>
      <c r="AT994" t="s">
        <v>74</v>
      </c>
      <c r="AU994">
        <v>2006</v>
      </c>
      <c r="AV994" t="s">
        <v>74</v>
      </c>
      <c r="AW994" t="s">
        <v>74</v>
      </c>
      <c r="AX994" t="s">
        <v>74</v>
      </c>
      <c r="AY994" t="s">
        <v>74</v>
      </c>
      <c r="AZ994" t="s">
        <v>74</v>
      </c>
      <c r="BA994" t="s">
        <v>74</v>
      </c>
      <c r="BB994">
        <v>461</v>
      </c>
      <c r="BC994" t="s">
        <v>7504</v>
      </c>
      <c r="BD994" t="s">
        <v>74</v>
      </c>
      <c r="BE994" t="s">
        <v>14650</v>
      </c>
      <c r="BF994" t="str">
        <f>HYPERLINK("http://dx.doi.org/10.1007/3-540-32934-X_59","http://dx.doi.org/10.1007/3-540-32934-X_59")</f>
        <v>http://dx.doi.org/10.1007/3-540-32934-X_59</v>
      </c>
      <c r="BG994" t="s">
        <v>74</v>
      </c>
      <c r="BH994" t="s">
        <v>74</v>
      </c>
      <c r="BI994">
        <v>2</v>
      </c>
      <c r="BJ994" t="s">
        <v>527</v>
      </c>
      <c r="BK994" t="s">
        <v>12886</v>
      </c>
      <c r="BL994" t="s">
        <v>528</v>
      </c>
      <c r="BM994" t="s">
        <v>14006</v>
      </c>
      <c r="BN994" t="s">
        <v>74</v>
      </c>
      <c r="BO994" t="s">
        <v>74</v>
      </c>
      <c r="BP994" t="s">
        <v>74</v>
      </c>
      <c r="BQ994" t="s">
        <v>74</v>
      </c>
      <c r="BR994" t="s">
        <v>100</v>
      </c>
      <c r="BS994" t="s">
        <v>14651</v>
      </c>
      <c r="BT994" t="str">
        <f>HYPERLINK("https%3A%2F%2Fwww.webofscience.com%2Fwos%2Fwoscc%2Ffull-record%2FWOS:000236632500059","View Full Record in Web of Science")</f>
        <v>View Full Record in Web of Science</v>
      </c>
    </row>
    <row r="995" spans="1:72" x14ac:dyDescent="0.15">
      <c r="A995" t="s">
        <v>12866</v>
      </c>
      <c r="B995" t="s">
        <v>14652</v>
      </c>
      <c r="C995" t="s">
        <v>74</v>
      </c>
      <c r="D995" t="s">
        <v>13992</v>
      </c>
      <c r="E995" t="s">
        <v>74</v>
      </c>
      <c r="F995" t="s">
        <v>14652</v>
      </c>
      <c r="G995" t="s">
        <v>74</v>
      </c>
      <c r="H995" t="s">
        <v>74</v>
      </c>
      <c r="I995" t="s">
        <v>14653</v>
      </c>
      <c r="J995" t="s">
        <v>14016</v>
      </c>
      <c r="K995" t="s">
        <v>74</v>
      </c>
      <c r="L995" t="s">
        <v>74</v>
      </c>
      <c r="M995" t="s">
        <v>78</v>
      </c>
      <c r="N995" t="s">
        <v>12873</v>
      </c>
      <c r="O995" t="s">
        <v>13995</v>
      </c>
      <c r="P995" t="s">
        <v>13996</v>
      </c>
      <c r="Q995" t="s">
        <v>13997</v>
      </c>
      <c r="R995" t="s">
        <v>74</v>
      </c>
      <c r="S995" t="s">
        <v>13998</v>
      </c>
      <c r="T995" t="s">
        <v>74</v>
      </c>
      <c r="U995" t="s">
        <v>74</v>
      </c>
      <c r="V995" t="s">
        <v>14654</v>
      </c>
      <c r="W995" t="s">
        <v>14655</v>
      </c>
      <c r="X995" t="s">
        <v>14656</v>
      </c>
      <c r="Y995" t="s">
        <v>14657</v>
      </c>
      <c r="Z995" t="s">
        <v>14658</v>
      </c>
      <c r="AA995" t="s">
        <v>14659</v>
      </c>
      <c r="AB995" t="s">
        <v>14660</v>
      </c>
      <c r="AC995" t="s">
        <v>74</v>
      </c>
      <c r="AD995" t="s">
        <v>74</v>
      </c>
      <c r="AE995" t="s">
        <v>74</v>
      </c>
      <c r="AF995" t="s">
        <v>74</v>
      </c>
      <c r="AG995">
        <v>27</v>
      </c>
      <c r="AH995">
        <v>18</v>
      </c>
      <c r="AI995">
        <v>19</v>
      </c>
      <c r="AJ995">
        <v>0</v>
      </c>
      <c r="AK995">
        <v>2</v>
      </c>
      <c r="AL995" t="s">
        <v>14001</v>
      </c>
      <c r="AM995" t="s">
        <v>14002</v>
      </c>
      <c r="AN995" t="s">
        <v>14003</v>
      </c>
      <c r="AO995" t="s">
        <v>74</v>
      </c>
      <c r="AP995" t="s">
        <v>74</v>
      </c>
      <c r="AQ995" t="s">
        <v>14004</v>
      </c>
      <c r="AR995" t="s">
        <v>74</v>
      </c>
      <c r="AS995" t="s">
        <v>74</v>
      </c>
      <c r="AT995" t="s">
        <v>74</v>
      </c>
      <c r="AU995">
        <v>2006</v>
      </c>
      <c r="AV995" t="s">
        <v>74</v>
      </c>
      <c r="AW995" t="s">
        <v>74</v>
      </c>
      <c r="AX995" t="s">
        <v>74</v>
      </c>
      <c r="AY995" t="s">
        <v>74</v>
      </c>
      <c r="AZ995" t="s">
        <v>74</v>
      </c>
      <c r="BA995" t="s">
        <v>74</v>
      </c>
      <c r="BB995">
        <v>467</v>
      </c>
      <c r="BC995" t="s">
        <v>7504</v>
      </c>
      <c r="BD995" t="s">
        <v>74</v>
      </c>
      <c r="BE995" t="s">
        <v>14661</v>
      </c>
      <c r="BF995" t="str">
        <f>HYPERLINK("http://dx.doi.org/10.1007/3-540-32934-X_60","http://dx.doi.org/10.1007/3-540-32934-X_60")</f>
        <v>http://dx.doi.org/10.1007/3-540-32934-X_60</v>
      </c>
      <c r="BG995" t="s">
        <v>74</v>
      </c>
      <c r="BH995" t="s">
        <v>74</v>
      </c>
      <c r="BI995">
        <v>3</v>
      </c>
      <c r="BJ995" t="s">
        <v>527</v>
      </c>
      <c r="BK995" t="s">
        <v>12886</v>
      </c>
      <c r="BL995" t="s">
        <v>528</v>
      </c>
      <c r="BM995" t="s">
        <v>14006</v>
      </c>
      <c r="BN995" t="s">
        <v>74</v>
      </c>
      <c r="BO995" t="s">
        <v>74</v>
      </c>
      <c r="BP995" t="s">
        <v>74</v>
      </c>
      <c r="BQ995" t="s">
        <v>74</v>
      </c>
      <c r="BR995" t="s">
        <v>100</v>
      </c>
      <c r="BS995" t="s">
        <v>14662</v>
      </c>
      <c r="BT995" t="str">
        <f>HYPERLINK("https%3A%2F%2Fwww.webofscience.com%2Fwos%2Fwoscc%2Ffull-record%2FWOS:000236632500060","View Full Record in Web of Science")</f>
        <v>View Full Record in Web of Science</v>
      </c>
    </row>
    <row r="996" spans="1:72" x14ac:dyDescent="0.15">
      <c r="A996" t="s">
        <v>72</v>
      </c>
      <c r="B996" t="s">
        <v>14663</v>
      </c>
      <c r="C996" t="s">
        <v>74</v>
      </c>
      <c r="D996" t="s">
        <v>74</v>
      </c>
      <c r="E996" t="s">
        <v>74</v>
      </c>
      <c r="F996" t="s">
        <v>14664</v>
      </c>
      <c r="G996" t="s">
        <v>74</v>
      </c>
      <c r="H996" t="s">
        <v>74</v>
      </c>
      <c r="I996" t="s">
        <v>14665</v>
      </c>
      <c r="J996" t="s">
        <v>14666</v>
      </c>
      <c r="K996" t="s">
        <v>74</v>
      </c>
      <c r="L996" t="s">
        <v>74</v>
      </c>
      <c r="M996" t="s">
        <v>78</v>
      </c>
      <c r="N996" t="s">
        <v>79</v>
      </c>
      <c r="O996" t="s">
        <v>74</v>
      </c>
      <c r="P996" t="s">
        <v>74</v>
      </c>
      <c r="Q996" t="s">
        <v>74</v>
      </c>
      <c r="R996" t="s">
        <v>74</v>
      </c>
      <c r="S996" t="s">
        <v>74</v>
      </c>
      <c r="T996" t="s">
        <v>14667</v>
      </c>
      <c r="U996" t="s">
        <v>14668</v>
      </c>
      <c r="V996" t="s">
        <v>14669</v>
      </c>
      <c r="W996" t="s">
        <v>14670</v>
      </c>
      <c r="X996" t="s">
        <v>14671</v>
      </c>
      <c r="Y996" t="s">
        <v>14672</v>
      </c>
      <c r="Z996" t="s">
        <v>14673</v>
      </c>
      <c r="AA996" t="s">
        <v>14674</v>
      </c>
      <c r="AB996" t="s">
        <v>14675</v>
      </c>
      <c r="AC996" t="s">
        <v>74</v>
      </c>
      <c r="AD996" t="s">
        <v>74</v>
      </c>
      <c r="AE996" t="s">
        <v>74</v>
      </c>
      <c r="AF996" t="s">
        <v>74</v>
      </c>
      <c r="AG996">
        <v>34</v>
      </c>
      <c r="AH996">
        <v>35</v>
      </c>
      <c r="AI996">
        <v>46</v>
      </c>
      <c r="AJ996">
        <v>1</v>
      </c>
      <c r="AK996">
        <v>27</v>
      </c>
      <c r="AL996" t="s">
        <v>14676</v>
      </c>
      <c r="AM996" t="s">
        <v>14677</v>
      </c>
      <c r="AN996" t="s">
        <v>14678</v>
      </c>
      <c r="AO996" t="s">
        <v>14679</v>
      </c>
      <c r="AP996" t="s">
        <v>14680</v>
      </c>
      <c r="AQ996" t="s">
        <v>74</v>
      </c>
      <c r="AR996" t="s">
        <v>14666</v>
      </c>
      <c r="AS996" t="s">
        <v>14681</v>
      </c>
      <c r="AT996" t="s">
        <v>74</v>
      </c>
      <c r="AU996">
        <v>2006</v>
      </c>
      <c r="AV996">
        <v>94</v>
      </c>
      <c r="AW996">
        <v>3</v>
      </c>
      <c r="AX996" t="s">
        <v>74</v>
      </c>
      <c r="AY996" t="s">
        <v>74</v>
      </c>
      <c r="AZ996" t="s">
        <v>5755</v>
      </c>
      <c r="BA996" t="s">
        <v>74</v>
      </c>
      <c r="BB996">
        <v>667</v>
      </c>
      <c r="BC996">
        <v>678</v>
      </c>
      <c r="BD996" t="s">
        <v>74</v>
      </c>
      <c r="BE996" t="s">
        <v>74</v>
      </c>
      <c r="BF996" t="s">
        <v>74</v>
      </c>
      <c r="BG996" t="s">
        <v>74</v>
      </c>
      <c r="BH996" t="s">
        <v>74</v>
      </c>
      <c r="BI996">
        <v>12</v>
      </c>
      <c r="BJ996" t="s">
        <v>999</v>
      </c>
      <c r="BK996" t="s">
        <v>97</v>
      </c>
      <c r="BL996" t="s">
        <v>1000</v>
      </c>
      <c r="BM996" t="s">
        <v>14682</v>
      </c>
      <c r="BN996" t="s">
        <v>74</v>
      </c>
      <c r="BO996" t="s">
        <v>74</v>
      </c>
      <c r="BP996" t="s">
        <v>74</v>
      </c>
      <c r="BQ996" t="s">
        <v>74</v>
      </c>
      <c r="BR996" t="s">
        <v>100</v>
      </c>
      <c r="BS996" t="s">
        <v>14683</v>
      </c>
      <c r="BT996" t="str">
        <f>HYPERLINK("https%3A%2F%2Fwww.webofscience.com%2Fwos%2Fwoscc%2Ffull-record%2FWOS:000246455100029","View Full Record in Web of Science")</f>
        <v>View Full Record in Web of Science</v>
      </c>
    </row>
    <row r="997" spans="1:72" x14ac:dyDescent="0.15">
      <c r="A997" t="s">
        <v>12866</v>
      </c>
      <c r="B997" t="s">
        <v>14684</v>
      </c>
      <c r="C997" t="s">
        <v>74</v>
      </c>
      <c r="D997" t="s">
        <v>14685</v>
      </c>
      <c r="E997" t="s">
        <v>74</v>
      </c>
      <c r="F997" t="s">
        <v>14686</v>
      </c>
      <c r="G997" t="s">
        <v>74</v>
      </c>
      <c r="H997" t="s">
        <v>74</v>
      </c>
      <c r="I997" t="s">
        <v>14687</v>
      </c>
      <c r="J997" t="s">
        <v>14688</v>
      </c>
      <c r="K997" t="s">
        <v>14689</v>
      </c>
      <c r="L997" t="s">
        <v>74</v>
      </c>
      <c r="M997" t="s">
        <v>78</v>
      </c>
      <c r="N997" t="s">
        <v>12873</v>
      </c>
      <c r="O997" t="s">
        <v>14690</v>
      </c>
      <c r="P997" t="s">
        <v>14691</v>
      </c>
      <c r="Q997" t="s">
        <v>14692</v>
      </c>
      <c r="R997" t="s">
        <v>74</v>
      </c>
      <c r="S997" t="s">
        <v>74</v>
      </c>
      <c r="T997" t="s">
        <v>14693</v>
      </c>
      <c r="U997" t="s">
        <v>14694</v>
      </c>
      <c r="V997" t="s">
        <v>14695</v>
      </c>
      <c r="W997" t="s">
        <v>14696</v>
      </c>
      <c r="X997" t="s">
        <v>14697</v>
      </c>
      <c r="Y997" t="s">
        <v>14698</v>
      </c>
      <c r="Z997" t="s">
        <v>74</v>
      </c>
      <c r="AA997" t="s">
        <v>14699</v>
      </c>
      <c r="AB997" t="s">
        <v>14700</v>
      </c>
      <c r="AC997" t="s">
        <v>14701</v>
      </c>
      <c r="AD997" t="s">
        <v>14702</v>
      </c>
      <c r="AE997" t="s">
        <v>14703</v>
      </c>
      <c r="AF997" t="s">
        <v>74</v>
      </c>
      <c r="AG997">
        <v>46</v>
      </c>
      <c r="AH997">
        <v>3</v>
      </c>
      <c r="AI997">
        <v>3</v>
      </c>
      <c r="AJ997">
        <v>0</v>
      </c>
      <c r="AK997">
        <v>3</v>
      </c>
      <c r="AL997" t="s">
        <v>7382</v>
      </c>
      <c r="AM997" t="s">
        <v>7383</v>
      </c>
      <c r="AN997" t="s">
        <v>14704</v>
      </c>
      <c r="AO997" t="s">
        <v>14705</v>
      </c>
      <c r="AP997" t="s">
        <v>74</v>
      </c>
      <c r="AQ997" t="s">
        <v>14706</v>
      </c>
      <c r="AR997" t="s">
        <v>14707</v>
      </c>
      <c r="AS997" t="s">
        <v>74</v>
      </c>
      <c r="AT997" t="s">
        <v>74</v>
      </c>
      <c r="AU997">
        <v>2006</v>
      </c>
      <c r="AV997">
        <v>855</v>
      </c>
      <c r="AW997" t="s">
        <v>74</v>
      </c>
      <c r="AX997" t="s">
        <v>74</v>
      </c>
      <c r="AY997" t="s">
        <v>74</v>
      </c>
      <c r="AZ997" t="s">
        <v>74</v>
      </c>
      <c r="BA997" t="s">
        <v>74</v>
      </c>
      <c r="BB997">
        <v>76</v>
      </c>
      <c r="BC997" t="s">
        <v>7504</v>
      </c>
      <c r="BD997" t="s">
        <v>74</v>
      </c>
      <c r="BE997" t="s">
        <v>74</v>
      </c>
      <c r="BF997" t="s">
        <v>74</v>
      </c>
      <c r="BG997" t="s">
        <v>74</v>
      </c>
      <c r="BH997" t="s">
        <v>74</v>
      </c>
      <c r="BI997">
        <v>3</v>
      </c>
      <c r="BJ997" t="s">
        <v>14708</v>
      </c>
      <c r="BK997" t="s">
        <v>12886</v>
      </c>
      <c r="BL997" t="s">
        <v>14709</v>
      </c>
      <c r="BM997" t="s">
        <v>14710</v>
      </c>
      <c r="BN997" t="s">
        <v>74</v>
      </c>
      <c r="BO997" t="s">
        <v>74</v>
      </c>
      <c r="BP997" t="s">
        <v>74</v>
      </c>
      <c r="BQ997" t="s">
        <v>74</v>
      </c>
      <c r="BR997" t="s">
        <v>100</v>
      </c>
      <c r="BS997" t="s">
        <v>14711</v>
      </c>
      <c r="BT997" t="str">
        <f>HYPERLINK("https%3A%2F%2Fwww.webofscience.com%2Fwos%2Fwoscc%2Ffull-record%2FWOS:000241319800009","View Full Record in Web of Science")</f>
        <v>View Full Record in Web of Science</v>
      </c>
    </row>
    <row r="998" spans="1:72" x14ac:dyDescent="0.15">
      <c r="A998" t="s">
        <v>12866</v>
      </c>
      <c r="B998" t="s">
        <v>14712</v>
      </c>
      <c r="C998" t="s">
        <v>74</v>
      </c>
      <c r="D998" t="s">
        <v>14713</v>
      </c>
      <c r="E998" t="s">
        <v>74</v>
      </c>
      <c r="F998" t="s">
        <v>14714</v>
      </c>
      <c r="G998" t="s">
        <v>74</v>
      </c>
      <c r="H998" t="s">
        <v>74</v>
      </c>
      <c r="I998" t="s">
        <v>14715</v>
      </c>
      <c r="J998" t="s">
        <v>14716</v>
      </c>
      <c r="K998" t="s">
        <v>14717</v>
      </c>
      <c r="L998" t="s">
        <v>74</v>
      </c>
      <c r="M998" t="s">
        <v>78</v>
      </c>
      <c r="N998" t="s">
        <v>12873</v>
      </c>
      <c r="O998" t="s">
        <v>14718</v>
      </c>
      <c r="P998" t="s">
        <v>14719</v>
      </c>
      <c r="Q998" t="s">
        <v>14720</v>
      </c>
      <c r="R998" t="s">
        <v>74</v>
      </c>
      <c r="S998" t="s">
        <v>74</v>
      </c>
      <c r="T998" t="s">
        <v>74</v>
      </c>
      <c r="U998" t="s">
        <v>74</v>
      </c>
      <c r="V998" t="s">
        <v>14721</v>
      </c>
      <c r="W998" t="s">
        <v>14722</v>
      </c>
      <c r="X998" t="s">
        <v>14723</v>
      </c>
      <c r="Y998" t="s">
        <v>14724</v>
      </c>
      <c r="Z998" t="s">
        <v>14725</v>
      </c>
      <c r="AA998" t="s">
        <v>74</v>
      </c>
      <c r="AB998" t="s">
        <v>74</v>
      </c>
      <c r="AC998" t="s">
        <v>74</v>
      </c>
      <c r="AD998" t="s">
        <v>74</v>
      </c>
      <c r="AE998" t="s">
        <v>74</v>
      </c>
      <c r="AF998" t="s">
        <v>74</v>
      </c>
      <c r="AG998">
        <v>13</v>
      </c>
      <c r="AH998">
        <v>0</v>
      </c>
      <c r="AI998">
        <v>1</v>
      </c>
      <c r="AJ998">
        <v>0</v>
      </c>
      <c r="AK998">
        <v>3</v>
      </c>
      <c r="AL998" t="s">
        <v>14726</v>
      </c>
      <c r="AM998" t="s">
        <v>3671</v>
      </c>
      <c r="AN998" t="s">
        <v>14727</v>
      </c>
      <c r="AO998" t="s">
        <v>14728</v>
      </c>
      <c r="AP998" t="s">
        <v>74</v>
      </c>
      <c r="AQ998" t="s">
        <v>14729</v>
      </c>
      <c r="AR998" t="s">
        <v>14730</v>
      </c>
      <c r="AS998" t="s">
        <v>74</v>
      </c>
      <c r="AT998" t="s">
        <v>74</v>
      </c>
      <c r="AU998">
        <v>2006</v>
      </c>
      <c r="AV998">
        <v>123</v>
      </c>
      <c r="AW998" t="s">
        <v>74</v>
      </c>
      <c r="AX998" t="s">
        <v>5771</v>
      </c>
      <c r="AY998" t="s">
        <v>74</v>
      </c>
      <c r="AZ998" t="s">
        <v>74</v>
      </c>
      <c r="BA998" t="s">
        <v>74</v>
      </c>
      <c r="BB998">
        <v>155</v>
      </c>
      <c r="BC998" t="s">
        <v>7504</v>
      </c>
      <c r="BD998" t="s">
        <v>74</v>
      </c>
      <c r="BE998" t="s">
        <v>74</v>
      </c>
      <c r="BF998" t="s">
        <v>74</v>
      </c>
      <c r="BG998" t="s">
        <v>74</v>
      </c>
      <c r="BH998" t="s">
        <v>74</v>
      </c>
      <c r="BI998">
        <v>2</v>
      </c>
      <c r="BJ998" t="s">
        <v>4480</v>
      </c>
      <c r="BK998" t="s">
        <v>12886</v>
      </c>
      <c r="BL998" t="s">
        <v>4481</v>
      </c>
      <c r="BM998" t="s">
        <v>14731</v>
      </c>
      <c r="BN998" t="s">
        <v>74</v>
      </c>
      <c r="BO998" t="s">
        <v>74</v>
      </c>
      <c r="BP998" t="s">
        <v>74</v>
      </c>
      <c r="BQ998" t="s">
        <v>74</v>
      </c>
      <c r="BR998" t="s">
        <v>100</v>
      </c>
      <c r="BS998" t="s">
        <v>14732</v>
      </c>
      <c r="BT998" t="str">
        <f>HYPERLINK("https%3A%2F%2Fwww.webofscience.com%2Fwos%2Fwoscc%2Ffull-record%2FWOS:000237804700009","View Full Record in Web of Science")</f>
        <v>View Full Record in Web of Science</v>
      </c>
    </row>
    <row r="999" spans="1:72" x14ac:dyDescent="0.15">
      <c r="A999" t="s">
        <v>72</v>
      </c>
      <c r="B999" t="s">
        <v>14733</v>
      </c>
      <c r="C999" t="s">
        <v>74</v>
      </c>
      <c r="D999" t="s">
        <v>74</v>
      </c>
      <c r="E999" t="s">
        <v>74</v>
      </c>
      <c r="F999" t="s">
        <v>14734</v>
      </c>
      <c r="G999" t="s">
        <v>74</v>
      </c>
      <c r="H999" t="s">
        <v>74</v>
      </c>
      <c r="I999" t="s">
        <v>14735</v>
      </c>
      <c r="J999" t="s">
        <v>377</v>
      </c>
      <c r="K999" t="s">
        <v>74</v>
      </c>
      <c r="L999" t="s">
        <v>74</v>
      </c>
      <c r="M999" t="s">
        <v>78</v>
      </c>
      <c r="N999" t="s">
        <v>1226</v>
      </c>
      <c r="O999" t="s">
        <v>14736</v>
      </c>
      <c r="P999" t="s">
        <v>14737</v>
      </c>
      <c r="Q999" t="s">
        <v>14738</v>
      </c>
      <c r="R999" t="s">
        <v>74</v>
      </c>
      <c r="S999" t="s">
        <v>74</v>
      </c>
      <c r="T999" t="s">
        <v>14739</v>
      </c>
      <c r="U999" t="s">
        <v>14740</v>
      </c>
      <c r="V999" t="s">
        <v>14741</v>
      </c>
      <c r="W999" t="s">
        <v>14742</v>
      </c>
      <c r="X999" t="s">
        <v>14743</v>
      </c>
      <c r="Y999" t="s">
        <v>14744</v>
      </c>
      <c r="Z999" t="s">
        <v>14745</v>
      </c>
      <c r="AA999" t="s">
        <v>14746</v>
      </c>
      <c r="AB999" t="s">
        <v>14747</v>
      </c>
      <c r="AC999" t="s">
        <v>74</v>
      </c>
      <c r="AD999" t="s">
        <v>74</v>
      </c>
      <c r="AE999" t="s">
        <v>74</v>
      </c>
      <c r="AF999" t="s">
        <v>74</v>
      </c>
      <c r="AG999">
        <v>34</v>
      </c>
      <c r="AH999">
        <v>174</v>
      </c>
      <c r="AI999">
        <v>190</v>
      </c>
      <c r="AJ999">
        <v>1</v>
      </c>
      <c r="AK999">
        <v>68</v>
      </c>
      <c r="AL999" t="s">
        <v>387</v>
      </c>
      <c r="AM999" t="s">
        <v>388</v>
      </c>
      <c r="AN999" t="s">
        <v>389</v>
      </c>
      <c r="AO999" t="s">
        <v>390</v>
      </c>
      <c r="AP999" t="s">
        <v>74</v>
      </c>
      <c r="AQ999" t="s">
        <v>74</v>
      </c>
      <c r="AR999" t="s">
        <v>392</v>
      </c>
      <c r="AS999" t="s">
        <v>393</v>
      </c>
      <c r="AT999" t="s">
        <v>74</v>
      </c>
      <c r="AU999">
        <v>2006</v>
      </c>
      <c r="AV999">
        <v>40</v>
      </c>
      <c r="AW999" t="s">
        <v>74</v>
      </c>
      <c r="AX999" t="s">
        <v>74</v>
      </c>
      <c r="AY999">
        <v>2</v>
      </c>
      <c r="AZ999" t="s">
        <v>74</v>
      </c>
      <c r="BA999" t="s">
        <v>74</v>
      </c>
      <c r="BB999" t="s">
        <v>14748</v>
      </c>
      <c r="BC999" t="s">
        <v>14749</v>
      </c>
      <c r="BD999" t="s">
        <v>74</v>
      </c>
      <c r="BE999" t="s">
        <v>14750</v>
      </c>
      <c r="BF999" t="str">
        <f>HYPERLINK("http://dx.doi.org/10.1016/j.atmosenv.2006.01.063","http://dx.doi.org/10.1016/j.atmosenv.2006.01.063")</f>
        <v>http://dx.doi.org/10.1016/j.atmosenv.2006.01.063</v>
      </c>
      <c r="BG999" t="s">
        <v>74</v>
      </c>
      <c r="BH999" t="s">
        <v>74</v>
      </c>
      <c r="BI999">
        <v>12</v>
      </c>
      <c r="BJ999" t="s">
        <v>395</v>
      </c>
      <c r="BK999" t="s">
        <v>655</v>
      </c>
      <c r="BL999" t="s">
        <v>396</v>
      </c>
      <c r="BM999" t="s">
        <v>14751</v>
      </c>
      <c r="BN999" t="s">
        <v>74</v>
      </c>
      <c r="BO999" t="s">
        <v>74</v>
      </c>
      <c r="BP999" t="s">
        <v>74</v>
      </c>
      <c r="BQ999" t="s">
        <v>74</v>
      </c>
      <c r="BR999" t="s">
        <v>100</v>
      </c>
      <c r="BS999" t="s">
        <v>14752</v>
      </c>
      <c r="BT999" t="str">
        <f>HYPERLINK("https%3A%2F%2Fwww.webofscience.com%2Fwos%2Fwoscc%2Ffull-record%2FWOS:000242023200005","View Full Record in Web of Science")</f>
        <v>View Full Record in Web of Science</v>
      </c>
    </row>
    <row r="1000" spans="1:72" x14ac:dyDescent="0.15">
      <c r="A1000" t="s">
        <v>72</v>
      </c>
      <c r="B1000" t="s">
        <v>14753</v>
      </c>
      <c r="C1000" t="s">
        <v>74</v>
      </c>
      <c r="D1000" t="s">
        <v>74</v>
      </c>
      <c r="E1000" t="s">
        <v>74</v>
      </c>
      <c r="F1000" t="s">
        <v>14754</v>
      </c>
      <c r="G1000" t="s">
        <v>74</v>
      </c>
      <c r="H1000" t="s">
        <v>74</v>
      </c>
      <c r="I1000" t="s">
        <v>14755</v>
      </c>
      <c r="J1000" t="s">
        <v>14756</v>
      </c>
      <c r="K1000" t="s">
        <v>74</v>
      </c>
      <c r="L1000" t="s">
        <v>74</v>
      </c>
      <c r="M1000" t="s">
        <v>78</v>
      </c>
      <c r="N1000" t="s">
        <v>79</v>
      </c>
      <c r="O1000" t="s">
        <v>74</v>
      </c>
      <c r="P1000" t="s">
        <v>74</v>
      </c>
      <c r="Q1000" t="s">
        <v>74</v>
      </c>
      <c r="R1000" t="s">
        <v>74</v>
      </c>
      <c r="S1000" t="s">
        <v>74</v>
      </c>
      <c r="T1000" t="s">
        <v>74</v>
      </c>
      <c r="U1000" t="s">
        <v>14757</v>
      </c>
      <c r="V1000" t="s">
        <v>14758</v>
      </c>
      <c r="W1000" t="s">
        <v>14759</v>
      </c>
      <c r="X1000" t="s">
        <v>14760</v>
      </c>
      <c r="Y1000" t="s">
        <v>14761</v>
      </c>
      <c r="Z1000" t="s">
        <v>14762</v>
      </c>
      <c r="AA1000" t="s">
        <v>74</v>
      </c>
      <c r="AB1000" t="s">
        <v>14763</v>
      </c>
      <c r="AC1000" t="s">
        <v>74</v>
      </c>
      <c r="AD1000" t="s">
        <v>74</v>
      </c>
      <c r="AE1000" t="s">
        <v>74</v>
      </c>
      <c r="AF1000" t="s">
        <v>74</v>
      </c>
      <c r="AG1000">
        <v>76</v>
      </c>
      <c r="AH1000">
        <v>25</v>
      </c>
      <c r="AI1000">
        <v>28</v>
      </c>
      <c r="AJ1000">
        <v>2</v>
      </c>
      <c r="AK1000">
        <v>67</v>
      </c>
      <c r="AL1000" t="s">
        <v>14764</v>
      </c>
      <c r="AM1000" t="s">
        <v>14765</v>
      </c>
      <c r="AN1000" t="s">
        <v>14766</v>
      </c>
      <c r="AO1000" t="s">
        <v>14767</v>
      </c>
      <c r="AP1000" t="s">
        <v>14768</v>
      </c>
      <c r="AQ1000" t="s">
        <v>74</v>
      </c>
      <c r="AR1000" t="s">
        <v>14769</v>
      </c>
      <c r="AS1000" t="s">
        <v>14770</v>
      </c>
      <c r="AT1000" t="s">
        <v>74</v>
      </c>
      <c r="AU1000">
        <v>2006</v>
      </c>
      <c r="AV1000">
        <v>54</v>
      </c>
      <c r="AW1000">
        <v>6</v>
      </c>
      <c r="AX1000" t="s">
        <v>74</v>
      </c>
      <c r="AY1000" t="s">
        <v>74</v>
      </c>
      <c r="AZ1000" t="s">
        <v>74</v>
      </c>
      <c r="BA1000" t="s">
        <v>74</v>
      </c>
      <c r="BB1000">
        <v>385</v>
      </c>
      <c r="BC1000">
        <v>392</v>
      </c>
      <c r="BD1000" t="s">
        <v>74</v>
      </c>
      <c r="BE1000" t="s">
        <v>14771</v>
      </c>
      <c r="BF1000" t="str">
        <f>HYPERLINK("http://dx.doi.org/10.1071/ZO06015","http://dx.doi.org/10.1071/ZO06015")</f>
        <v>http://dx.doi.org/10.1071/ZO06015</v>
      </c>
      <c r="BG1000" t="s">
        <v>74</v>
      </c>
      <c r="BH1000" t="s">
        <v>74</v>
      </c>
      <c r="BI1000">
        <v>8</v>
      </c>
      <c r="BJ1000" t="s">
        <v>1000</v>
      </c>
      <c r="BK1000" t="s">
        <v>97</v>
      </c>
      <c r="BL1000" t="s">
        <v>1000</v>
      </c>
      <c r="BM1000" t="s">
        <v>14772</v>
      </c>
      <c r="BN1000" t="s">
        <v>74</v>
      </c>
      <c r="BO1000" t="s">
        <v>74</v>
      </c>
      <c r="BP1000" t="s">
        <v>74</v>
      </c>
      <c r="BQ1000" t="s">
        <v>74</v>
      </c>
      <c r="BR1000" t="s">
        <v>100</v>
      </c>
      <c r="BS1000" t="s">
        <v>14773</v>
      </c>
      <c r="BT1000" t="str">
        <f>HYPERLINK("https%3A%2F%2Fwww.webofscience.com%2Fwos%2Fwoscc%2Ffull-record%2FWOS:000243335900003","View Full Record in Web of Science")</f>
        <v>View Full Record in Web of Science</v>
      </c>
    </row>
    <row r="1001" spans="1:72" x14ac:dyDescent="0.15">
      <c r="A1001" t="s">
        <v>12866</v>
      </c>
      <c r="B1001" t="s">
        <v>14774</v>
      </c>
      <c r="C1001" t="s">
        <v>74</v>
      </c>
      <c r="D1001" t="s">
        <v>14775</v>
      </c>
      <c r="E1001" t="s">
        <v>74</v>
      </c>
      <c r="F1001" t="s">
        <v>14776</v>
      </c>
      <c r="G1001" t="s">
        <v>74</v>
      </c>
      <c r="H1001" t="s">
        <v>74</v>
      </c>
      <c r="I1001" t="s">
        <v>14777</v>
      </c>
      <c r="J1001" t="s">
        <v>14778</v>
      </c>
      <c r="K1001" t="s">
        <v>14779</v>
      </c>
      <c r="L1001" t="s">
        <v>74</v>
      </c>
      <c r="M1001" t="s">
        <v>78</v>
      </c>
      <c r="N1001" t="s">
        <v>12873</v>
      </c>
      <c r="O1001" t="s">
        <v>14780</v>
      </c>
      <c r="P1001" t="s">
        <v>14781</v>
      </c>
      <c r="Q1001" t="s">
        <v>14782</v>
      </c>
      <c r="R1001" t="s">
        <v>74</v>
      </c>
      <c r="S1001" t="s">
        <v>74</v>
      </c>
      <c r="T1001" t="s">
        <v>74</v>
      </c>
      <c r="U1001" t="s">
        <v>14783</v>
      </c>
      <c r="V1001" t="s">
        <v>14784</v>
      </c>
      <c r="W1001" t="s">
        <v>14785</v>
      </c>
      <c r="X1001" t="s">
        <v>407</v>
      </c>
      <c r="Y1001" t="s">
        <v>14786</v>
      </c>
      <c r="Z1001" t="s">
        <v>74</v>
      </c>
      <c r="AA1001" t="s">
        <v>10996</v>
      </c>
      <c r="AB1001" t="s">
        <v>74</v>
      </c>
      <c r="AC1001" t="s">
        <v>74</v>
      </c>
      <c r="AD1001" t="s">
        <v>74</v>
      </c>
      <c r="AE1001" t="s">
        <v>74</v>
      </c>
      <c r="AF1001" t="s">
        <v>74</v>
      </c>
      <c r="AG1001">
        <v>60</v>
      </c>
      <c r="AH1001">
        <v>4</v>
      </c>
      <c r="AI1001">
        <v>4</v>
      </c>
      <c r="AJ1001">
        <v>0</v>
      </c>
      <c r="AK1001">
        <v>7</v>
      </c>
      <c r="AL1001" t="s">
        <v>1757</v>
      </c>
      <c r="AM1001" t="s">
        <v>88</v>
      </c>
      <c r="AN1001" t="s">
        <v>1758</v>
      </c>
      <c r="AO1001" t="s">
        <v>14787</v>
      </c>
      <c r="AP1001" t="s">
        <v>74</v>
      </c>
      <c r="AQ1001" t="s">
        <v>14788</v>
      </c>
      <c r="AR1001" t="s">
        <v>14789</v>
      </c>
      <c r="AS1001" t="s">
        <v>74</v>
      </c>
      <c r="AT1001" t="s">
        <v>74</v>
      </c>
      <c r="AU1001">
        <v>2006</v>
      </c>
      <c r="AV1001">
        <v>166</v>
      </c>
      <c r="AW1001" t="s">
        <v>74</v>
      </c>
      <c r="AX1001" t="s">
        <v>74</v>
      </c>
      <c r="AY1001" t="s">
        <v>74</v>
      </c>
      <c r="AZ1001" t="s">
        <v>74</v>
      </c>
      <c r="BA1001" t="s">
        <v>74</v>
      </c>
      <c r="BB1001">
        <v>243</v>
      </c>
      <c r="BC1001">
        <v>261</v>
      </c>
      <c r="BD1001" t="s">
        <v>74</v>
      </c>
      <c r="BE1001" t="s">
        <v>74</v>
      </c>
      <c r="BF1001" t="s">
        <v>74</v>
      </c>
      <c r="BG1001" t="s">
        <v>74</v>
      </c>
      <c r="BH1001" t="s">
        <v>74</v>
      </c>
      <c r="BI1001">
        <v>19</v>
      </c>
      <c r="BJ1001" t="s">
        <v>608</v>
      </c>
      <c r="BK1001" t="s">
        <v>12886</v>
      </c>
      <c r="BL1001" t="s">
        <v>608</v>
      </c>
      <c r="BM1001" t="s">
        <v>14790</v>
      </c>
      <c r="BN1001" t="s">
        <v>74</v>
      </c>
      <c r="BO1001" t="s">
        <v>74</v>
      </c>
      <c r="BP1001" t="s">
        <v>74</v>
      </c>
      <c r="BQ1001" t="s">
        <v>74</v>
      </c>
      <c r="BR1001" t="s">
        <v>100</v>
      </c>
      <c r="BS1001" t="s">
        <v>14791</v>
      </c>
      <c r="BT1001" t="str">
        <f>HYPERLINK("https%3A%2F%2Fwww.webofscience.com%2Fwos%2Fwoscc%2Ffull-record%2FWOS:000245755900012","View Full Record in Web of Science")</f>
        <v>View Full Record in Web of Science</v>
      </c>
    </row>
  </sheetData>
  <pageMargins left="0.75" right="0.75" top="1" bottom="1" header="0.5" footer="0.5"/>
  <pageSetup orientation="portrait" horizontalDpi="300" verticalDpi="300"/>
  <headerFooter alignWithMargins="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savedrecs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SULEYMAN BILGIN - Dijital Kanal Cozumleri (Satis Sonra</cp:lastModifiedBy>
  <dcterms:created xsi:type="dcterms:W3CDTF">2024-07-28T15:26:25Z</dcterms:created>
  <dcterms:modified xsi:type="dcterms:W3CDTF">2024-07-28T15:26:25Z</dcterms:modified>
</cp:coreProperties>
</file>